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3BD71B29-BD0A-41C2-9FF6-D4794BACF4BB}" xr6:coauthVersionLast="46" xr6:coauthVersionMax="46" xr10:uidLastSave="{00000000-0000-0000-0000-000000000000}"/>
  <bookViews>
    <workbookView xWindow="-120" yWindow="-120" windowWidth="19440" windowHeight="8640" xr2:uid="{00000000-000D-0000-FFFF-FFFF00000000}"/>
  </bookViews>
  <sheets>
    <sheet name="тариф 01.01.2021" sheetId="1" r:id="rId1"/>
    <sheet name="Лист1" sheetId="3" r:id="rId2"/>
    <sheet name="ВАКАНСИЯ" sheetId="2" r:id="rId3"/>
  </sheets>
  <definedNames>
    <definedName name="_xlnm._FilterDatabase" localSheetId="2" hidden="1">ВАКАНСИЯ!$B$10:$BO$81</definedName>
    <definedName name="_xlnm.Print_Area" localSheetId="2">ВАКАНСИЯ!$B$1:$BO$88</definedName>
    <definedName name="_xlnm.Print_Area" localSheetId="1">Лист1!$A$1:$BO$89</definedName>
    <definedName name="_xlnm.Print_Area" localSheetId="0">'тариф 01.01.2021'!$B$1:$BO$88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3" l="1"/>
  <c r="O79" i="3"/>
  <c r="V79" i="3" s="1"/>
  <c r="AB79" i="3" s="1"/>
  <c r="O78" i="3"/>
  <c r="V78" i="3" s="1"/>
  <c r="O77" i="3"/>
  <c r="V77" i="3" s="1"/>
  <c r="AB77" i="3" s="1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A76" i="3"/>
  <c r="Z76" i="3"/>
  <c r="Y76" i="3"/>
  <c r="X76" i="3"/>
  <c r="W76" i="3"/>
  <c r="U76" i="3"/>
  <c r="T76" i="3"/>
  <c r="S76" i="3"/>
  <c r="R76" i="3"/>
  <c r="Q76" i="3"/>
  <c r="P76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BK58" i="3"/>
  <c r="BJ58" i="3"/>
  <c r="BI58" i="3"/>
  <c r="BH58" i="3"/>
  <c r="BG58" i="3"/>
  <c r="BF58" i="3"/>
  <c r="BE58" i="3"/>
  <c r="BC58" i="3"/>
  <c r="BB58" i="3"/>
  <c r="BA58" i="3"/>
  <c r="AZ58" i="3"/>
  <c r="AY58" i="3"/>
  <c r="AX58" i="3"/>
  <c r="AW58" i="3"/>
  <c r="AV58" i="3"/>
  <c r="AV46" i="3" s="1"/>
  <c r="AU58" i="3"/>
  <c r="AT58" i="3"/>
  <c r="AS58" i="3"/>
  <c r="AR58" i="3"/>
  <c r="AR46" i="3" s="1"/>
  <c r="AQ58" i="3"/>
  <c r="AP58" i="3"/>
  <c r="AO58" i="3"/>
  <c r="AN58" i="3"/>
  <c r="AN46" i="3" s="1"/>
  <c r="AM58" i="3"/>
  <c r="AL58" i="3"/>
  <c r="AK58" i="3"/>
  <c r="AJ58" i="3"/>
  <c r="AJ46" i="3" s="1"/>
  <c r="AI58" i="3"/>
  <c r="AH58" i="3"/>
  <c r="AG58" i="3"/>
  <c r="X58" i="3"/>
  <c r="W58" i="3"/>
  <c r="V58" i="3"/>
  <c r="U58" i="3"/>
  <c r="T58" i="3"/>
  <c r="S58" i="3"/>
  <c r="R58" i="3"/>
  <c r="Q58" i="3"/>
  <c r="P58" i="3"/>
  <c r="O57" i="3"/>
  <c r="Y57" i="3" s="1"/>
  <c r="O56" i="3"/>
  <c r="Y56" i="3" s="1"/>
  <c r="O55" i="3"/>
  <c r="AB55" i="3" s="1"/>
  <c r="AC55" i="3" s="1"/>
  <c r="Y54" i="3"/>
  <c r="O54" i="3"/>
  <c r="AB54" i="3" s="1"/>
  <c r="AB53" i="3"/>
  <c r="AC53" i="3" s="1"/>
  <c r="AD53" i="3" s="1"/>
  <c r="O53" i="3"/>
  <c r="Z53" i="3" s="1"/>
  <c r="O52" i="3"/>
  <c r="Y52" i="3" s="1"/>
  <c r="AB52" i="3" s="1"/>
  <c r="Z51" i="3"/>
  <c r="O51" i="3"/>
  <c r="Y51" i="3" s="1"/>
  <c r="AB51" i="3" s="1"/>
  <c r="Z50" i="3"/>
  <c r="O50" i="3"/>
  <c r="AB50" i="3" s="1"/>
  <c r="AC50" i="3" s="1"/>
  <c r="AD50" i="3" s="1"/>
  <c r="Z49" i="3"/>
  <c r="O49" i="3"/>
  <c r="AB49" i="3" s="1"/>
  <c r="AC49" i="3" s="1"/>
  <c r="AD49" i="3" s="1"/>
  <c r="Z48" i="3"/>
  <c r="O48" i="3"/>
  <c r="AB48" i="3" s="1"/>
  <c r="AC48" i="3" s="1"/>
  <c r="BK47" i="3"/>
  <c r="BJ47" i="3"/>
  <c r="BJ46" i="3" s="1"/>
  <c r="BI47" i="3"/>
  <c r="BH47" i="3"/>
  <c r="BG47" i="3"/>
  <c r="BF47" i="3"/>
  <c r="BF46" i="3" s="1"/>
  <c r="BE47" i="3"/>
  <c r="BC47" i="3"/>
  <c r="BB47" i="3"/>
  <c r="BB46" i="3" s="1"/>
  <c r="BA47" i="3"/>
  <c r="BA46" i="3" s="1"/>
  <c r="AZ47" i="3"/>
  <c r="AY47" i="3"/>
  <c r="AX47" i="3"/>
  <c r="AW47" i="3"/>
  <c r="AW46" i="3" s="1"/>
  <c r="AV47" i="3"/>
  <c r="AU47" i="3"/>
  <c r="AT47" i="3"/>
  <c r="AS47" i="3"/>
  <c r="AS46" i="3" s="1"/>
  <c r="AR47" i="3"/>
  <c r="AQ47" i="3"/>
  <c r="AP47" i="3"/>
  <c r="AO47" i="3"/>
  <c r="AO46" i="3" s="1"/>
  <c r="AN47" i="3"/>
  <c r="AM47" i="3"/>
  <c r="AL47" i="3"/>
  <c r="AL46" i="3" s="1"/>
  <c r="AK47" i="3"/>
  <c r="AK46" i="3" s="1"/>
  <c r="AJ47" i="3"/>
  <c r="AI47" i="3"/>
  <c r="AH47" i="3"/>
  <c r="AG47" i="3"/>
  <c r="AG46" i="3" s="1"/>
  <c r="X47" i="3"/>
  <c r="W47" i="3"/>
  <c r="V47" i="3"/>
  <c r="U47" i="3"/>
  <c r="U46" i="3" s="1"/>
  <c r="T47" i="3"/>
  <c r="S47" i="3"/>
  <c r="R47" i="3"/>
  <c r="Q47" i="3"/>
  <c r="Q46" i="3" s="1"/>
  <c r="P47" i="3"/>
  <c r="BK46" i="3"/>
  <c r="BH46" i="3"/>
  <c r="BG46" i="3"/>
  <c r="BC46" i="3"/>
  <c r="AZ46" i="3"/>
  <c r="AY46" i="3"/>
  <c r="AX46" i="3"/>
  <c r="AU46" i="3"/>
  <c r="AT46" i="3"/>
  <c r="AQ46" i="3"/>
  <c r="AP46" i="3"/>
  <c r="AM46" i="3"/>
  <c r="AI46" i="3"/>
  <c r="AH46" i="3"/>
  <c r="W46" i="3"/>
  <c r="S46" i="3"/>
  <c r="R46" i="3"/>
  <c r="BJ45" i="3"/>
  <c r="BF45" i="3"/>
  <c r="BC45" i="3"/>
  <c r="BA45" i="3"/>
  <c r="AY45" i="3"/>
  <c r="AX45" i="3"/>
  <c r="AW45" i="3"/>
  <c r="AV45" i="3"/>
  <c r="AJ45" i="3"/>
  <c r="AH45" i="3"/>
  <c r="AG45" i="3"/>
  <c r="AA45" i="3"/>
  <c r="Z45" i="3"/>
  <c r="Y45" i="3"/>
  <c r="U45" i="3"/>
  <c r="T45" i="3"/>
  <c r="S45" i="3"/>
  <c r="S80" i="3" s="1"/>
  <c r="R45" i="3"/>
  <c r="Q45" i="3"/>
  <c r="P45" i="3"/>
  <c r="AR44" i="3"/>
  <c r="AQ44" i="3"/>
  <c r="AO44" i="3"/>
  <c r="AL44" i="3"/>
  <c r="AT44" i="3" s="1"/>
  <c r="AK44" i="3"/>
  <c r="AI44" i="3"/>
  <c r="AM44" i="3" s="1"/>
  <c r="O44" i="3"/>
  <c r="X44" i="3" s="1"/>
  <c r="AZ43" i="3"/>
  <c r="AR43" i="3"/>
  <c r="AQ43" i="3"/>
  <c r="AO43" i="3"/>
  <c r="AL43" i="3"/>
  <c r="AK43" i="3"/>
  <c r="AM43" i="3" s="1"/>
  <c r="AI43" i="3"/>
  <c r="O43" i="3"/>
  <c r="X43" i="3" s="1"/>
  <c r="BB42" i="3"/>
  <c r="AZ42" i="3"/>
  <c r="AR42" i="3"/>
  <c r="AQ42" i="3"/>
  <c r="AO42" i="3"/>
  <c r="AL42" i="3"/>
  <c r="AK42" i="3"/>
  <c r="AI42" i="3"/>
  <c r="O42" i="3"/>
  <c r="AR41" i="3"/>
  <c r="AQ41" i="3"/>
  <c r="AO41" i="3"/>
  <c r="AL41" i="3"/>
  <c r="AK41" i="3"/>
  <c r="AI41" i="3"/>
  <c r="O41" i="3"/>
  <c r="V41" i="3" s="1"/>
  <c r="BH40" i="3"/>
  <c r="AZ40" i="3"/>
  <c r="AR40" i="3"/>
  <c r="AQ40" i="3"/>
  <c r="AO40" i="3"/>
  <c r="AL40" i="3"/>
  <c r="AK40" i="3"/>
  <c r="AI40" i="3"/>
  <c r="O40" i="3"/>
  <c r="AZ39" i="3"/>
  <c r="AR39" i="3"/>
  <c r="AQ39" i="3"/>
  <c r="AO39" i="3"/>
  <c r="AL39" i="3"/>
  <c r="AI39" i="3"/>
  <c r="AM39" i="3" s="1"/>
  <c r="O39" i="3"/>
  <c r="X39" i="3" s="1"/>
  <c r="AR38" i="3"/>
  <c r="AQ38" i="3"/>
  <c r="AO38" i="3"/>
  <c r="AS38" i="3" s="1"/>
  <c r="AL38" i="3"/>
  <c r="AT38" i="3" s="1"/>
  <c r="AK38" i="3"/>
  <c r="AI38" i="3"/>
  <c r="O38" i="3"/>
  <c r="V38" i="3" s="1"/>
  <c r="AT37" i="3"/>
  <c r="AO37" i="3"/>
  <c r="AS37" i="3" s="1"/>
  <c r="AU37" i="3" s="1"/>
  <c r="O37" i="3"/>
  <c r="X37" i="3" s="1"/>
  <c r="AB37" i="3" s="1"/>
  <c r="BH36" i="3"/>
  <c r="AR36" i="3"/>
  <c r="AQ36" i="3"/>
  <c r="AO36" i="3"/>
  <c r="AS36" i="3" s="1"/>
  <c r="AL36" i="3"/>
  <c r="AT36" i="3" s="1"/>
  <c r="AI36" i="3"/>
  <c r="AM36" i="3" s="1"/>
  <c r="AU36" i="3" s="1"/>
  <c r="O36" i="3"/>
  <c r="V36" i="3" s="1"/>
  <c r="AT35" i="3"/>
  <c r="AO35" i="3"/>
  <c r="AS35" i="3" s="1"/>
  <c r="AU35" i="3" s="1"/>
  <c r="O35" i="3"/>
  <c r="W35" i="3" s="1"/>
  <c r="AB35" i="3" s="1"/>
  <c r="AT34" i="3"/>
  <c r="AO34" i="3"/>
  <c r="AS34" i="3" s="1"/>
  <c r="AU34" i="3" s="1"/>
  <c r="O34" i="3"/>
  <c r="W34" i="3" s="1"/>
  <c r="AB34" i="3" s="1"/>
  <c r="AZ33" i="3"/>
  <c r="AR33" i="3"/>
  <c r="AQ33" i="3"/>
  <c r="AO33" i="3"/>
  <c r="AL33" i="3"/>
  <c r="AK33" i="3"/>
  <c r="AI33" i="3"/>
  <c r="AM33" i="3" s="1"/>
  <c r="O33" i="3"/>
  <c r="X33" i="3" s="1"/>
  <c r="BH32" i="3"/>
  <c r="AZ32" i="3"/>
  <c r="AR32" i="3"/>
  <c r="AQ32" i="3"/>
  <c r="AO32" i="3"/>
  <c r="AL32" i="3"/>
  <c r="AI32" i="3"/>
  <c r="AM32" i="3" s="1"/>
  <c r="X32" i="3"/>
  <c r="O32" i="3"/>
  <c r="V32" i="3" s="1"/>
  <c r="AR31" i="3"/>
  <c r="AQ31" i="3"/>
  <c r="AO31" i="3"/>
  <c r="AL31" i="3"/>
  <c r="AK31" i="3"/>
  <c r="AI31" i="3"/>
  <c r="O31" i="3"/>
  <c r="V31" i="3" s="1"/>
  <c r="AZ30" i="3"/>
  <c r="AR30" i="3"/>
  <c r="AQ30" i="3"/>
  <c r="AO30" i="3"/>
  <c r="AL30" i="3"/>
  <c r="AI30" i="3"/>
  <c r="AM30" i="3" s="1"/>
  <c r="X30" i="3"/>
  <c r="O30" i="3"/>
  <c r="V30" i="3" s="1"/>
  <c r="BH29" i="3"/>
  <c r="AZ29" i="3"/>
  <c r="AR29" i="3"/>
  <c r="AQ29" i="3"/>
  <c r="AO29" i="3"/>
  <c r="AL29" i="3"/>
  <c r="AK29" i="3"/>
  <c r="AI29" i="3"/>
  <c r="O29" i="3"/>
  <c r="V29" i="3" s="1"/>
  <c r="AR28" i="3"/>
  <c r="AQ28" i="3"/>
  <c r="AO28" i="3"/>
  <c r="AS28" i="3" s="1"/>
  <c r="AL28" i="3"/>
  <c r="AT28" i="3" s="1"/>
  <c r="AK28" i="3"/>
  <c r="AI28" i="3"/>
  <c r="AM28" i="3" s="1"/>
  <c r="AU28" i="3" s="1"/>
  <c r="O28" i="3"/>
  <c r="BB27" i="3"/>
  <c r="AZ27" i="3"/>
  <c r="AS27" i="3"/>
  <c r="AR27" i="3"/>
  <c r="AQ27" i="3"/>
  <c r="AO27" i="3"/>
  <c r="AM27" i="3"/>
  <c r="AL27" i="3"/>
  <c r="AT27" i="3" s="1"/>
  <c r="AK27" i="3"/>
  <c r="AI27" i="3"/>
  <c r="O27" i="3"/>
  <c r="V27" i="3" s="1"/>
  <c r="BB26" i="3"/>
  <c r="AZ26" i="3"/>
  <c r="AR26" i="3"/>
  <c r="AQ26" i="3"/>
  <c r="AO26" i="3"/>
  <c r="AL26" i="3"/>
  <c r="AK26" i="3"/>
  <c r="AI26" i="3"/>
  <c r="V26" i="3"/>
  <c r="O26" i="3"/>
  <c r="X26" i="3" s="1"/>
  <c r="AR25" i="3"/>
  <c r="AQ25" i="3"/>
  <c r="AO25" i="3"/>
  <c r="AL25" i="3"/>
  <c r="AK25" i="3"/>
  <c r="AI25" i="3"/>
  <c r="AM25" i="3" s="1"/>
  <c r="O25" i="3"/>
  <c r="V25" i="3" s="1"/>
  <c r="AR24" i="3"/>
  <c r="AT24" i="3" s="1"/>
  <c r="AO24" i="3"/>
  <c r="AL24" i="3"/>
  <c r="AK24" i="3"/>
  <c r="AI24" i="3"/>
  <c r="AM24" i="3" s="1"/>
  <c r="O24" i="3"/>
  <c r="AZ23" i="3"/>
  <c r="AR23" i="3"/>
  <c r="AO23" i="3"/>
  <c r="AS23" i="3" s="1"/>
  <c r="AL23" i="3"/>
  <c r="AI23" i="3"/>
  <c r="AM23" i="3" s="1"/>
  <c r="O23" i="3"/>
  <c r="AT22" i="3"/>
  <c r="AR22" i="3"/>
  <c r="AO22" i="3"/>
  <c r="AL22" i="3"/>
  <c r="AK22" i="3"/>
  <c r="W22" i="3"/>
  <c r="O22" i="3"/>
  <c r="X22" i="3" s="1"/>
  <c r="AR21" i="3"/>
  <c r="AO21" i="3"/>
  <c r="AL21" i="3"/>
  <c r="AK21" i="3"/>
  <c r="O21" i="3"/>
  <c r="X21" i="3" s="1"/>
  <c r="AR20" i="3"/>
  <c r="AO20" i="3"/>
  <c r="AL20" i="3"/>
  <c r="AT20" i="3" s="1"/>
  <c r="AK20" i="3"/>
  <c r="V20" i="3"/>
  <c r="O20" i="3"/>
  <c r="X20" i="3" s="1"/>
  <c r="AR19" i="3"/>
  <c r="AO19" i="3"/>
  <c r="AL19" i="3"/>
  <c r="AK19" i="3"/>
  <c r="O19" i="3"/>
  <c r="AR18" i="3"/>
  <c r="AT18" i="3" s="1"/>
  <c r="AO18" i="3"/>
  <c r="AK18" i="3"/>
  <c r="O18" i="3"/>
  <c r="AR17" i="3"/>
  <c r="AO17" i="3"/>
  <c r="AL17" i="3"/>
  <c r="AK17" i="3"/>
  <c r="O17" i="3"/>
  <c r="X17" i="3" s="1"/>
  <c r="BI16" i="3"/>
  <c r="BI45" i="3" s="1"/>
  <c r="BE16" i="3"/>
  <c r="BE26" i="3" s="1"/>
  <c r="BE42" i="3" s="1"/>
  <c r="AZ16" i="3"/>
  <c r="AR16" i="3"/>
  <c r="AP16" i="3"/>
  <c r="AP45" i="3" s="1"/>
  <c r="AP80" i="3" s="1"/>
  <c r="AO16" i="3"/>
  <c r="AN16" i="3"/>
  <c r="AN45" i="3" s="1"/>
  <c r="AM16" i="3"/>
  <c r="AL16" i="3"/>
  <c r="AK16" i="3"/>
  <c r="X16" i="3"/>
  <c r="W16" i="3"/>
  <c r="V16" i="3"/>
  <c r="O16" i="3"/>
  <c r="AF9" i="3"/>
  <c r="AF8" i="3"/>
  <c r="AF7" i="3"/>
  <c r="AF5" i="3"/>
  <c r="AF4" i="3"/>
  <c r="AY80" i="1"/>
  <c r="BC80" i="1"/>
  <c r="P76" i="1"/>
  <c r="Q76" i="1"/>
  <c r="R76" i="1"/>
  <c r="S76" i="1"/>
  <c r="T76" i="1"/>
  <c r="U76" i="1"/>
  <c r="W76" i="1"/>
  <c r="X76" i="1"/>
  <c r="Y76" i="1"/>
  <c r="Z76" i="1"/>
  <c r="AA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P58" i="1"/>
  <c r="Q58" i="1"/>
  <c r="R58" i="1"/>
  <c r="S58" i="1"/>
  <c r="T58" i="1"/>
  <c r="U58" i="1"/>
  <c r="V58" i="1"/>
  <c r="W58" i="1"/>
  <c r="X58" i="1"/>
  <c r="AG58" i="1"/>
  <c r="AH58" i="1"/>
  <c r="AI58" i="1"/>
  <c r="AJ58" i="1"/>
  <c r="AK58" i="1"/>
  <c r="AL58" i="1"/>
  <c r="AM58" i="1"/>
  <c r="AN58" i="1"/>
  <c r="AN46" i="1" s="1"/>
  <c r="AO58" i="1"/>
  <c r="AP58" i="1"/>
  <c r="AQ58" i="1"/>
  <c r="AR58" i="1"/>
  <c r="AS58" i="1"/>
  <c r="AT58" i="1"/>
  <c r="AU58" i="1"/>
  <c r="AV58" i="1"/>
  <c r="AV46" i="1" s="1"/>
  <c r="AW58" i="1"/>
  <c r="AX58" i="1"/>
  <c r="AY58" i="1"/>
  <c r="AZ58" i="1"/>
  <c r="BA58" i="1"/>
  <c r="BB58" i="1"/>
  <c r="BC58" i="1"/>
  <c r="BE58" i="1"/>
  <c r="BF58" i="1"/>
  <c r="BG58" i="1"/>
  <c r="BH58" i="1"/>
  <c r="BI58" i="1"/>
  <c r="BJ58" i="1"/>
  <c r="P47" i="1"/>
  <c r="Q47" i="1"/>
  <c r="Q46" i="1" s="1"/>
  <c r="R47" i="1"/>
  <c r="R46" i="1" s="1"/>
  <c r="S47" i="1"/>
  <c r="T47" i="1"/>
  <c r="U47" i="1"/>
  <c r="U46" i="1" s="1"/>
  <c r="V47" i="1"/>
  <c r="W47" i="1"/>
  <c r="X47" i="1"/>
  <c r="AG47" i="1"/>
  <c r="AG46" i="1" s="1"/>
  <c r="AH47" i="1"/>
  <c r="AH46" i="1" s="1"/>
  <c r="AI47" i="1"/>
  <c r="AJ47" i="1"/>
  <c r="AK47" i="1"/>
  <c r="AK46" i="1" s="1"/>
  <c r="AL47" i="1"/>
  <c r="AL46" i="1" s="1"/>
  <c r="AM47" i="1"/>
  <c r="AN47" i="1"/>
  <c r="AO47" i="1"/>
  <c r="AO46" i="1" s="1"/>
  <c r="AP47" i="1"/>
  <c r="AP46" i="1" s="1"/>
  <c r="AQ47" i="1"/>
  <c r="AR47" i="1"/>
  <c r="AS47" i="1"/>
  <c r="AS46" i="1" s="1"/>
  <c r="AT47" i="1"/>
  <c r="AT46" i="1" s="1"/>
  <c r="AU47" i="1"/>
  <c r="AV47" i="1"/>
  <c r="AW47" i="1"/>
  <c r="AW46" i="1" s="1"/>
  <c r="AX47" i="1"/>
  <c r="AX46" i="1" s="1"/>
  <c r="AX80" i="1" s="1"/>
  <c r="AY47" i="1"/>
  <c r="AZ47" i="1"/>
  <c r="BA47" i="1"/>
  <c r="BA46" i="1" s="1"/>
  <c r="BB47" i="1"/>
  <c r="BB46" i="1" s="1"/>
  <c r="BC47" i="1"/>
  <c r="BE47" i="1"/>
  <c r="BE46" i="1" s="1"/>
  <c r="BF47" i="1"/>
  <c r="BF46" i="1" s="1"/>
  <c r="BF80" i="1" s="1"/>
  <c r="BG47" i="1"/>
  <c r="BH47" i="1"/>
  <c r="BI47" i="1"/>
  <c r="BI46" i="1" s="1"/>
  <c r="BJ47" i="1"/>
  <c r="BJ46" i="1" s="1"/>
  <c r="BJ80" i="1" s="1"/>
  <c r="P46" i="1"/>
  <c r="P80" i="1" s="1"/>
  <c r="S46" i="1"/>
  <c r="S80" i="1" s="1"/>
  <c r="T46" i="1"/>
  <c r="T80" i="1" s="1"/>
  <c r="W46" i="1"/>
  <c r="X46" i="1"/>
  <c r="AI46" i="1"/>
  <c r="AJ46" i="1"/>
  <c r="AJ80" i="1" s="1"/>
  <c r="AM46" i="1"/>
  <c r="AQ46" i="1"/>
  <c r="AR46" i="1"/>
  <c r="AU46" i="1"/>
  <c r="AY46" i="1"/>
  <c r="AZ46" i="1"/>
  <c r="BC46" i="1"/>
  <c r="BG46" i="1"/>
  <c r="BH46" i="1"/>
  <c r="P45" i="1"/>
  <c r="Q45" i="1"/>
  <c r="Q80" i="1" s="1"/>
  <c r="R45" i="1"/>
  <c r="R80" i="1" s="1"/>
  <c r="S45" i="1"/>
  <c r="T45" i="1"/>
  <c r="U45" i="1"/>
  <c r="U80" i="1" s="1"/>
  <c r="Y45" i="1"/>
  <c r="Z45" i="1"/>
  <c r="AA45" i="1"/>
  <c r="AG45" i="1"/>
  <c r="AG80" i="1" s="1"/>
  <c r="AH45" i="1"/>
  <c r="AJ45" i="1"/>
  <c r="AV45" i="1"/>
  <c r="AW45" i="1"/>
  <c r="AW80" i="1" s="1"/>
  <c r="AX45" i="1"/>
  <c r="AY45" i="1"/>
  <c r="BA45" i="1"/>
  <c r="BA80" i="1" s="1"/>
  <c r="BC45" i="1"/>
  <c r="BF45" i="1"/>
  <c r="BJ45" i="1"/>
  <c r="AV80" i="1" l="1"/>
  <c r="AH80" i="1"/>
  <c r="AU27" i="3"/>
  <c r="W29" i="3"/>
  <c r="AB29" i="3" s="1"/>
  <c r="W25" i="3"/>
  <c r="AT26" i="3"/>
  <c r="X29" i="3"/>
  <c r="AT30" i="3"/>
  <c r="AT31" i="3"/>
  <c r="AS32" i="3"/>
  <c r="AU32" i="3" s="1"/>
  <c r="AT33" i="3"/>
  <c r="X36" i="3"/>
  <c r="AS42" i="3"/>
  <c r="AJ80" i="3"/>
  <c r="BE46" i="3"/>
  <c r="BI46" i="3"/>
  <c r="BI80" i="3" s="1"/>
  <c r="Y48" i="3"/>
  <c r="Y49" i="3"/>
  <c r="Y50" i="3"/>
  <c r="AA54" i="3"/>
  <c r="AN80" i="3"/>
  <c r="AT32" i="3"/>
  <c r="X25" i="3"/>
  <c r="AB25" i="3" s="1"/>
  <c r="AS30" i="3"/>
  <c r="AS31" i="3"/>
  <c r="AS33" i="3"/>
  <c r="AM40" i="3"/>
  <c r="AU40" i="3" s="1"/>
  <c r="AM42" i="3"/>
  <c r="AU42" i="3" s="1"/>
  <c r="AV80" i="3"/>
  <c r="AS43" i="3"/>
  <c r="V44" i="3"/>
  <c r="AB44" i="3" s="1"/>
  <c r="AC44" i="3" s="1"/>
  <c r="Y55" i="3"/>
  <c r="AT39" i="3"/>
  <c r="AT40" i="3"/>
  <c r="Z52" i="3"/>
  <c r="Z56" i="3"/>
  <c r="Y53" i="3"/>
  <c r="Y47" i="3" s="1"/>
  <c r="Z54" i="3"/>
  <c r="Z57" i="3"/>
  <c r="P46" i="3"/>
  <c r="P80" i="3" s="1"/>
  <c r="T46" i="3"/>
  <c r="T80" i="3" s="1"/>
  <c r="X46" i="3"/>
  <c r="AU33" i="3"/>
  <c r="AU30" i="3"/>
  <c r="AU43" i="3"/>
  <c r="V17" i="3"/>
  <c r="AQ17" i="3" s="1"/>
  <c r="O45" i="3"/>
  <c r="W20" i="3"/>
  <c r="AB20" i="3" s="1"/>
  <c r="W26" i="3"/>
  <c r="AS26" i="3"/>
  <c r="AB32" i="3"/>
  <c r="AC32" i="3" s="1"/>
  <c r="AC35" i="3"/>
  <c r="W44" i="3"/>
  <c r="AT43" i="3"/>
  <c r="W17" i="3"/>
  <c r="V22" i="3"/>
  <c r="AB22" i="3" s="1"/>
  <c r="AU23" i="3"/>
  <c r="W30" i="3"/>
  <c r="AB30" i="3" s="1"/>
  <c r="AM31" i="3"/>
  <c r="W32" i="3"/>
  <c r="W36" i="3"/>
  <c r="AM38" i="3"/>
  <c r="AU38" i="3" s="1"/>
  <c r="AS39" i="3"/>
  <c r="AS41" i="3"/>
  <c r="AZ45" i="3"/>
  <c r="AZ80" i="3" s="1"/>
  <c r="AS40" i="3"/>
  <c r="AM41" i="3"/>
  <c r="AU41" i="3" s="1"/>
  <c r="AS44" i="3"/>
  <c r="AU44" i="3" s="1"/>
  <c r="AC34" i="3"/>
  <c r="AC37" i="3"/>
  <c r="AU31" i="3"/>
  <c r="W19" i="3"/>
  <c r="V19" i="3"/>
  <c r="X28" i="3"/>
  <c r="W28" i="3"/>
  <c r="W40" i="3"/>
  <c r="X40" i="3"/>
  <c r="V40" i="3"/>
  <c r="W42" i="3"/>
  <c r="V42" i="3"/>
  <c r="AE50" i="3"/>
  <c r="BM50" i="3" s="1"/>
  <c r="AR45" i="3"/>
  <c r="AR80" i="3" s="1"/>
  <c r="X19" i="3"/>
  <c r="X23" i="3"/>
  <c r="W23" i="3"/>
  <c r="V28" i="3"/>
  <c r="X42" i="3"/>
  <c r="AS17" i="3"/>
  <c r="V18" i="3"/>
  <c r="AT19" i="3"/>
  <c r="V23" i="3"/>
  <c r="AT25" i="3"/>
  <c r="AS29" i="3"/>
  <c r="X38" i="3"/>
  <c r="W38" i="3"/>
  <c r="AB38" i="3" s="1"/>
  <c r="AU39" i="3"/>
  <c r="AD48" i="3"/>
  <c r="AE53" i="3"/>
  <c r="BM53" i="3" s="1"/>
  <c r="AQ20" i="3"/>
  <c r="AS20" i="3" s="1"/>
  <c r="AC77" i="3"/>
  <c r="AD77" i="3" s="1"/>
  <c r="AQ16" i="3"/>
  <c r="AS16" i="3" s="1"/>
  <c r="AB16" i="3"/>
  <c r="AT17" i="3"/>
  <c r="X18" i="3"/>
  <c r="W18" i="3"/>
  <c r="AT21" i="3"/>
  <c r="X27" i="3"/>
  <c r="W27" i="3"/>
  <c r="AT29" i="3"/>
  <c r="AK45" i="3"/>
  <c r="AK80" i="3" s="1"/>
  <c r="AO45" i="3"/>
  <c r="AO80" i="3" s="1"/>
  <c r="AB17" i="3"/>
  <c r="W21" i="3"/>
  <c r="V21" i="3"/>
  <c r="AQ22" i="3"/>
  <c r="AS22" i="3" s="1"/>
  <c r="AT23" i="3"/>
  <c r="W24" i="3"/>
  <c r="V24" i="3"/>
  <c r="AS25" i="3"/>
  <c r="AU25" i="3" s="1"/>
  <c r="AB26" i="3"/>
  <c r="AM26" i="3"/>
  <c r="AM29" i="3"/>
  <c r="AU29" i="3" s="1"/>
  <c r="BH45" i="3"/>
  <c r="BH80" i="3" s="1"/>
  <c r="X31" i="3"/>
  <c r="W31" i="3"/>
  <c r="AB31" i="3" s="1"/>
  <c r="W33" i="3"/>
  <c r="V33" i="3"/>
  <c r="W39" i="3"/>
  <c r="V39" i="3"/>
  <c r="AE49" i="3"/>
  <c r="BM49" i="3" s="1"/>
  <c r="AC52" i="3"/>
  <c r="AL45" i="3"/>
  <c r="AL80" i="3" s="1"/>
  <c r="AT16" i="3"/>
  <c r="BE45" i="3"/>
  <c r="BE80" i="3" s="1"/>
  <c r="BC80" i="3"/>
  <c r="AC51" i="3"/>
  <c r="AD51" i="3" s="1"/>
  <c r="AA61" i="3"/>
  <c r="AB61" i="3" s="1"/>
  <c r="Z61" i="3"/>
  <c r="AA65" i="3"/>
  <c r="AB65" i="3" s="1"/>
  <c r="Z65" i="3"/>
  <c r="Z69" i="3"/>
  <c r="Y69" i="3"/>
  <c r="AB69" i="3" s="1"/>
  <c r="Z73" i="3"/>
  <c r="Y73" i="3"/>
  <c r="AB73" i="3" s="1"/>
  <c r="AD55" i="3"/>
  <c r="AE55" i="3" s="1"/>
  <c r="AF55" i="3" s="1"/>
  <c r="BL55" i="3" s="1"/>
  <c r="BB45" i="3"/>
  <c r="BB80" i="3" s="1"/>
  <c r="X41" i="3"/>
  <c r="W41" i="3"/>
  <c r="W43" i="3"/>
  <c r="V43" i="3"/>
  <c r="AY80" i="3"/>
  <c r="AC54" i="3"/>
  <c r="AD54" i="3" s="1"/>
  <c r="BM54" i="3" s="1"/>
  <c r="AA55" i="3"/>
  <c r="Z55" i="3"/>
  <c r="Z47" i="3" s="1"/>
  <c r="O47" i="3"/>
  <c r="AA62" i="3"/>
  <c r="AB62" i="3" s="1"/>
  <c r="Z62" i="3"/>
  <c r="AA66" i="3"/>
  <c r="AB66" i="3" s="1"/>
  <c r="Z66" i="3"/>
  <c r="Z70" i="3"/>
  <c r="AB70" i="3" s="1"/>
  <c r="Y70" i="3"/>
  <c r="Z74" i="3"/>
  <c r="AB74" i="3" s="1"/>
  <c r="Y74" i="3"/>
  <c r="Q80" i="3"/>
  <c r="U80" i="3"/>
  <c r="AG80" i="3"/>
  <c r="AW80" i="3"/>
  <c r="BA80" i="3"/>
  <c r="AF49" i="3"/>
  <c r="BL49" i="3" s="1"/>
  <c r="AF50" i="3"/>
  <c r="BL50" i="3" s="1"/>
  <c r="AF53" i="3"/>
  <c r="BL53" i="3" s="1"/>
  <c r="AA60" i="3"/>
  <c r="AB60" i="3" s="1"/>
  <c r="Z60" i="3"/>
  <c r="AA64" i="3"/>
  <c r="AB64" i="3" s="1"/>
  <c r="Z64" i="3"/>
  <c r="Z68" i="3"/>
  <c r="Y68" i="3"/>
  <c r="AB68" i="3" s="1"/>
  <c r="Z72" i="3"/>
  <c r="Y72" i="3"/>
  <c r="AB72" i="3" s="1"/>
  <c r="R80" i="3"/>
  <c r="AH80" i="3"/>
  <c r="AX80" i="3"/>
  <c r="BF80" i="3"/>
  <c r="BJ80" i="3"/>
  <c r="O58" i="3"/>
  <c r="AA59" i="3"/>
  <c r="Z59" i="3"/>
  <c r="AA63" i="3"/>
  <c r="AB63" i="3" s="1"/>
  <c r="Z63" i="3"/>
  <c r="Z67" i="3"/>
  <c r="Y67" i="3"/>
  <c r="Z71" i="3"/>
  <c r="Y71" i="3"/>
  <c r="AB71" i="3" s="1"/>
  <c r="Z75" i="3"/>
  <c r="Y75" i="3"/>
  <c r="AB75" i="3" s="1"/>
  <c r="V76" i="3"/>
  <c r="V46" i="3" s="1"/>
  <c r="AB78" i="3"/>
  <c r="AC79" i="3"/>
  <c r="AD79" i="3" s="1"/>
  <c r="AB56" i="3"/>
  <c r="AA57" i="3"/>
  <c r="AB57" i="3"/>
  <c r="AA47" i="3" l="1"/>
  <c r="AB43" i="3"/>
  <c r="AB36" i="3"/>
  <c r="BD54" i="3"/>
  <c r="BD47" i="3" s="1"/>
  <c r="AB39" i="3"/>
  <c r="AC36" i="3"/>
  <c r="AD36" i="3" s="1"/>
  <c r="AC20" i="3"/>
  <c r="AD35" i="3"/>
  <c r="BD35" i="3" s="1"/>
  <c r="BK35" i="3" s="1"/>
  <c r="AB23" i="3"/>
  <c r="AB42" i="3"/>
  <c r="AC42" i="3" s="1"/>
  <c r="AU26" i="3"/>
  <c r="AD44" i="3"/>
  <c r="AB27" i="3"/>
  <c r="X45" i="3"/>
  <c r="X80" i="3" s="1"/>
  <c r="AU16" i="3"/>
  <c r="BO55" i="3"/>
  <c r="AC27" i="3"/>
  <c r="AE79" i="3"/>
  <c r="AF79" i="3" s="1"/>
  <c r="BL79" i="3" s="1"/>
  <c r="AD56" i="3"/>
  <c r="AC56" i="3"/>
  <c r="AC78" i="3"/>
  <c r="BO53" i="3"/>
  <c r="BN53" i="3"/>
  <c r="AC17" i="3"/>
  <c r="AD17" i="3"/>
  <c r="BD17" i="3" s="1"/>
  <c r="W45" i="3"/>
  <c r="W80" i="3" s="1"/>
  <c r="AD63" i="3"/>
  <c r="AC63" i="3"/>
  <c r="AC64" i="3"/>
  <c r="AD64" i="3" s="1"/>
  <c r="AD70" i="3"/>
  <c r="AC70" i="3"/>
  <c r="AC62" i="3"/>
  <c r="AD62" i="3" s="1"/>
  <c r="AC43" i="3"/>
  <c r="AC73" i="3"/>
  <c r="AD73" i="3" s="1"/>
  <c r="AT45" i="3"/>
  <c r="AT80" i="3" s="1"/>
  <c r="AC39" i="3"/>
  <c r="AD39" i="3" s="1"/>
  <c r="AC25" i="3"/>
  <c r="AE77" i="3"/>
  <c r="AB18" i="3"/>
  <c r="AQ18" i="3"/>
  <c r="AS18" i="3" s="1"/>
  <c r="AC75" i="3"/>
  <c r="AD75" i="3" s="1"/>
  <c r="AB67" i="3"/>
  <c r="Y58" i="3"/>
  <c r="Y46" i="3" s="1"/>
  <c r="Y80" i="3" s="1"/>
  <c r="Z58" i="3"/>
  <c r="Z46" i="3" s="1"/>
  <c r="Z80" i="3" s="1"/>
  <c r="AD68" i="3"/>
  <c r="AC68" i="3"/>
  <c r="BO49" i="3"/>
  <c r="BN49" i="3"/>
  <c r="AC65" i="3"/>
  <c r="AD65" i="3" s="1"/>
  <c r="AE51" i="3"/>
  <c r="AF51" i="3" s="1"/>
  <c r="BL51" i="3" s="1"/>
  <c r="AQ24" i="3"/>
  <c r="AS24" i="3" s="1"/>
  <c r="AB24" i="3"/>
  <c r="AC22" i="3"/>
  <c r="AD22" i="3" s="1"/>
  <c r="BD22" i="3" s="1"/>
  <c r="BK22" i="3" s="1"/>
  <c r="AC76" i="3"/>
  <c r="AU17" i="3"/>
  <c r="AD32" i="3"/>
  <c r="AB40" i="3"/>
  <c r="AC71" i="3"/>
  <c r="AD71" i="3" s="1"/>
  <c r="AC72" i="3"/>
  <c r="AD72" i="3" s="1"/>
  <c r="AC61" i="3"/>
  <c r="AD61" i="3" s="1"/>
  <c r="BM61" i="3" s="1"/>
  <c r="AC38" i="3"/>
  <c r="AC31" i="3"/>
  <c r="AD31" i="3" s="1"/>
  <c r="AB47" i="3"/>
  <c r="BO50" i="3"/>
  <c r="BN50" i="3"/>
  <c r="AD52" i="3"/>
  <c r="V45" i="3"/>
  <c r="V80" i="3" s="1"/>
  <c r="AE48" i="3"/>
  <c r="BM48" i="3" s="1"/>
  <c r="AC23" i="3"/>
  <c r="AD34" i="3"/>
  <c r="AC57" i="3"/>
  <c r="AB59" i="3"/>
  <c r="AA58" i="3"/>
  <c r="AA46" i="3" s="1"/>
  <c r="AA80" i="3" s="1"/>
  <c r="AD60" i="3"/>
  <c r="AC60" i="3"/>
  <c r="AF48" i="3"/>
  <c r="AC74" i="3"/>
  <c r="AD74" i="3" s="1"/>
  <c r="AC66" i="3"/>
  <c r="AD66" i="3" s="1"/>
  <c r="O46" i="3"/>
  <c r="O80" i="3" s="1"/>
  <c r="AF54" i="3"/>
  <c r="BL54" i="3" s="1"/>
  <c r="AB41" i="3"/>
  <c r="BM55" i="3"/>
  <c r="BN55" i="3" s="1"/>
  <c r="AC69" i="3"/>
  <c r="AD69" i="3" s="1"/>
  <c r="AB33" i="3"/>
  <c r="AC30" i="3"/>
  <c r="AC26" i="3"/>
  <c r="AQ21" i="3"/>
  <c r="AS21" i="3" s="1"/>
  <c r="AB21" i="3"/>
  <c r="AC16" i="3"/>
  <c r="AB76" i="3"/>
  <c r="AC29" i="3"/>
  <c r="AB28" i="3"/>
  <c r="AQ19" i="3"/>
  <c r="AS19" i="3" s="1"/>
  <c r="AB19" i="3"/>
  <c r="AD37" i="3"/>
  <c r="AE37" i="3" s="1"/>
  <c r="AY80" i="2"/>
  <c r="AX80" i="2"/>
  <c r="AW80" i="2"/>
  <c r="AV80" i="2"/>
  <c r="AU80" i="2"/>
  <c r="AM80" i="2"/>
  <c r="AI80" i="2"/>
  <c r="N80" i="2"/>
  <c r="O79" i="2"/>
  <c r="V79" i="2" s="1"/>
  <c r="AB79" i="2" s="1"/>
  <c r="O78" i="2"/>
  <c r="V78" i="2" s="1"/>
  <c r="AB78" i="2" s="1"/>
  <c r="O77" i="2"/>
  <c r="V77" i="2" s="1"/>
  <c r="AG76" i="2"/>
  <c r="AA76" i="2"/>
  <c r="Z76" i="2"/>
  <c r="Y76" i="2"/>
  <c r="X76" i="2"/>
  <c r="W76" i="2"/>
  <c r="P76" i="2"/>
  <c r="P46" i="2" s="1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U58" i="2"/>
  <c r="T58" i="2"/>
  <c r="S58" i="2"/>
  <c r="O57" i="2"/>
  <c r="AB57" i="2" s="1"/>
  <c r="O56" i="2"/>
  <c r="Y55" i="2"/>
  <c r="O55" i="2"/>
  <c r="AB55" i="2" s="1"/>
  <c r="AC55" i="2" s="1"/>
  <c r="O54" i="2"/>
  <c r="AB54" i="2" s="1"/>
  <c r="O53" i="2"/>
  <c r="AB53" i="2" s="1"/>
  <c r="O52" i="2"/>
  <c r="Z52" i="2" s="1"/>
  <c r="O51" i="2"/>
  <c r="Z51" i="2" s="1"/>
  <c r="O50" i="2"/>
  <c r="AB50" i="2" s="1"/>
  <c r="O49" i="2"/>
  <c r="AB49" i="2" s="1"/>
  <c r="O48" i="2"/>
  <c r="Y48" i="2" s="1"/>
  <c r="BK47" i="2"/>
  <c r="BI47" i="2"/>
  <c r="BH47" i="2"/>
  <c r="BG47" i="2"/>
  <c r="BF47" i="2"/>
  <c r="BE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G46" i="2" s="1"/>
  <c r="T47" i="2"/>
  <c r="S47" i="2"/>
  <c r="U46" i="2"/>
  <c r="T46" i="2"/>
  <c r="S46" i="2"/>
  <c r="O46" i="2"/>
  <c r="BJ45" i="2"/>
  <c r="BJ80" i="2" s="1"/>
  <c r="BF45" i="2"/>
  <c r="BF80" i="2" s="1"/>
  <c r="BC45" i="2"/>
  <c r="BC80" i="2" s="1"/>
  <c r="BA45" i="2"/>
  <c r="BA80" i="2" s="1"/>
  <c r="AJ45" i="2"/>
  <c r="AJ80" i="2" s="1"/>
  <c r="AH45" i="2"/>
  <c r="AH80" i="2" s="1"/>
  <c r="AG45" i="2"/>
  <c r="AA45" i="2"/>
  <c r="Z45" i="2"/>
  <c r="Y45" i="2"/>
  <c r="U45" i="2"/>
  <c r="U80" i="2" s="1"/>
  <c r="T45" i="2"/>
  <c r="T80" i="2" s="1"/>
  <c r="S45" i="2"/>
  <c r="S80" i="2" s="1"/>
  <c r="R45" i="2"/>
  <c r="R80" i="2" s="1"/>
  <c r="Q45" i="2"/>
  <c r="Q80" i="2" s="1"/>
  <c r="P45" i="2"/>
  <c r="O45" i="2"/>
  <c r="AR44" i="2"/>
  <c r="AQ44" i="2"/>
  <c r="AO44" i="2"/>
  <c r="AL44" i="2"/>
  <c r="AT44" i="2" s="1"/>
  <c r="AK44" i="2"/>
  <c r="AI44" i="2"/>
  <c r="W44" i="2"/>
  <c r="O44" i="2"/>
  <c r="V44" i="2" s="1"/>
  <c r="AZ43" i="2"/>
  <c r="AR43" i="2"/>
  <c r="AQ43" i="2"/>
  <c r="AS43" i="2" s="1"/>
  <c r="AO43" i="2"/>
  <c r="AL43" i="2"/>
  <c r="AT43" i="2" s="1"/>
  <c r="AK43" i="2"/>
  <c r="AM43" i="2" s="1"/>
  <c r="AI43" i="2"/>
  <c r="O43" i="2"/>
  <c r="BB42" i="2"/>
  <c r="AZ42" i="2"/>
  <c r="AR42" i="2"/>
  <c r="AQ42" i="2"/>
  <c r="AO42" i="2"/>
  <c r="AS42" i="2" s="1"/>
  <c r="AL42" i="2"/>
  <c r="AK42" i="2"/>
  <c r="AI42" i="2"/>
  <c r="AM42" i="2" s="1"/>
  <c r="AU42" i="2" s="1"/>
  <c r="O42" i="2"/>
  <c r="AS41" i="2"/>
  <c r="AR41" i="2"/>
  <c r="AQ41" i="2"/>
  <c r="AO41" i="2"/>
  <c r="AM41" i="2"/>
  <c r="AU41" i="2" s="1"/>
  <c r="AL41" i="2"/>
  <c r="AK41" i="2"/>
  <c r="AI41" i="2"/>
  <c r="O41" i="2"/>
  <c r="BH40" i="2"/>
  <c r="AZ40" i="2"/>
  <c r="AR40" i="2"/>
  <c r="AQ40" i="2"/>
  <c r="AO40" i="2"/>
  <c r="AL40" i="2"/>
  <c r="AT40" i="2" s="1"/>
  <c r="AK40" i="2"/>
  <c r="AI40" i="2"/>
  <c r="AM40" i="2" s="1"/>
  <c r="O40" i="2"/>
  <c r="AZ39" i="2"/>
  <c r="AR39" i="2"/>
  <c r="AQ39" i="2"/>
  <c r="AS39" i="2" s="1"/>
  <c r="AO39" i="2"/>
  <c r="AL39" i="2"/>
  <c r="AI39" i="2"/>
  <c r="AM39" i="2" s="1"/>
  <c r="AU39" i="2" s="1"/>
  <c r="V39" i="2"/>
  <c r="O39" i="2"/>
  <c r="X39" i="2" s="1"/>
  <c r="AR38" i="2"/>
  <c r="AQ38" i="2"/>
  <c r="AO38" i="2"/>
  <c r="AS38" i="2" s="1"/>
  <c r="AL38" i="2"/>
  <c r="AK38" i="2"/>
  <c r="AI38" i="2"/>
  <c r="AM38" i="2" s="1"/>
  <c r="AU38" i="2" s="1"/>
  <c r="O38" i="2"/>
  <c r="V38" i="2" s="1"/>
  <c r="AT37" i="2"/>
  <c r="AO37" i="2"/>
  <c r="AS37" i="2" s="1"/>
  <c r="AU37" i="2" s="1"/>
  <c r="AB37" i="2"/>
  <c r="O37" i="2"/>
  <c r="X37" i="2" s="1"/>
  <c r="BH36" i="2"/>
  <c r="AS36" i="2"/>
  <c r="AR36" i="2"/>
  <c r="AQ36" i="2"/>
  <c r="AO36" i="2"/>
  <c r="AM36" i="2"/>
  <c r="AU36" i="2" s="1"/>
  <c r="AL36" i="2"/>
  <c r="AT36" i="2" s="1"/>
  <c r="AI36" i="2"/>
  <c r="O36" i="2"/>
  <c r="AT35" i="2"/>
  <c r="AS35" i="2"/>
  <c r="AU35" i="2" s="1"/>
  <c r="AO35" i="2"/>
  <c r="O35" i="2"/>
  <c r="W35" i="2" s="1"/>
  <c r="AB35" i="2" s="1"/>
  <c r="AU34" i="2"/>
  <c r="AT34" i="2"/>
  <c r="AO34" i="2"/>
  <c r="AS34" i="2" s="1"/>
  <c r="W34" i="2"/>
  <c r="AB34" i="2" s="1"/>
  <c r="O34" i="2"/>
  <c r="AZ33" i="2"/>
  <c r="AR33" i="2"/>
  <c r="AQ33" i="2"/>
  <c r="AO33" i="2"/>
  <c r="AL33" i="2"/>
  <c r="AT33" i="2" s="1"/>
  <c r="AK33" i="2"/>
  <c r="AI33" i="2"/>
  <c r="O33" i="2"/>
  <c r="V33" i="2" s="1"/>
  <c r="BH32" i="2"/>
  <c r="AZ32" i="2"/>
  <c r="AR32" i="2"/>
  <c r="AQ32" i="2"/>
  <c r="AO32" i="2"/>
  <c r="AL32" i="2"/>
  <c r="AT32" i="2" s="1"/>
  <c r="AI32" i="2"/>
  <c r="AM32" i="2" s="1"/>
  <c r="O32" i="2"/>
  <c r="AR31" i="2"/>
  <c r="AQ31" i="2"/>
  <c r="AO31" i="2"/>
  <c r="AL31" i="2"/>
  <c r="AT31" i="2" s="1"/>
  <c r="AK31" i="2"/>
  <c r="AI31" i="2"/>
  <c r="AM31" i="2" s="1"/>
  <c r="O31" i="2"/>
  <c r="X31" i="2" s="1"/>
  <c r="AZ30" i="2"/>
  <c r="AR30" i="2"/>
  <c r="AQ30" i="2"/>
  <c r="AS30" i="2" s="1"/>
  <c r="AO30" i="2"/>
  <c r="AL30" i="2"/>
  <c r="AT30" i="2" s="1"/>
  <c r="AI30" i="2"/>
  <c r="AM30" i="2" s="1"/>
  <c r="AU30" i="2" s="1"/>
  <c r="O30" i="2"/>
  <c r="X30" i="2" s="1"/>
  <c r="BH29" i="2"/>
  <c r="AZ29" i="2"/>
  <c r="AR29" i="2"/>
  <c r="AQ29" i="2"/>
  <c r="AO29" i="2"/>
  <c r="AS29" i="2" s="1"/>
  <c r="AL29" i="2"/>
  <c r="AT29" i="2" s="1"/>
  <c r="AK29" i="2"/>
  <c r="AI29" i="2"/>
  <c r="AM29" i="2" s="1"/>
  <c r="O29" i="2"/>
  <c r="AR28" i="2"/>
  <c r="AQ28" i="2"/>
  <c r="AO28" i="2"/>
  <c r="AL28" i="2"/>
  <c r="AT28" i="2" s="1"/>
  <c r="AK28" i="2"/>
  <c r="AI28" i="2"/>
  <c r="V28" i="2"/>
  <c r="O28" i="2"/>
  <c r="X28" i="2" s="1"/>
  <c r="BB27" i="2"/>
  <c r="AZ27" i="2"/>
  <c r="AR27" i="2"/>
  <c r="AQ27" i="2"/>
  <c r="AO27" i="2"/>
  <c r="AL27" i="2"/>
  <c r="AT27" i="2" s="1"/>
  <c r="AK27" i="2"/>
  <c r="AI27" i="2"/>
  <c r="X27" i="2"/>
  <c r="W27" i="2"/>
  <c r="V27" i="2"/>
  <c r="O27" i="2"/>
  <c r="BB26" i="2"/>
  <c r="BB45" i="2" s="1"/>
  <c r="BB80" i="2" s="1"/>
  <c r="AZ26" i="2"/>
  <c r="AR26" i="2"/>
  <c r="AQ26" i="2"/>
  <c r="AO26" i="2"/>
  <c r="AL26" i="2"/>
  <c r="AK26" i="2"/>
  <c r="AM26" i="2" s="1"/>
  <c r="AI26" i="2"/>
  <c r="X26" i="2"/>
  <c r="O26" i="2"/>
  <c r="V26" i="2" s="1"/>
  <c r="AR25" i="2"/>
  <c r="AQ25" i="2"/>
  <c r="AO25" i="2"/>
  <c r="AL25" i="2"/>
  <c r="AT25" i="2" s="1"/>
  <c r="AK25" i="2"/>
  <c r="AI25" i="2"/>
  <c r="AM25" i="2" s="1"/>
  <c r="O25" i="2"/>
  <c r="W25" i="2" s="1"/>
  <c r="AR24" i="2"/>
  <c r="AO24" i="2"/>
  <c r="AL24" i="2"/>
  <c r="AT24" i="2" s="1"/>
  <c r="AK24" i="2"/>
  <c r="AI24" i="2"/>
  <c r="AM24" i="2" s="1"/>
  <c r="O24" i="2"/>
  <c r="V24" i="2" s="1"/>
  <c r="AZ23" i="2"/>
  <c r="AR23" i="2"/>
  <c r="AO23" i="2"/>
  <c r="AS23" i="2" s="1"/>
  <c r="AL23" i="2"/>
  <c r="AT23" i="2" s="1"/>
  <c r="AI23" i="2"/>
  <c r="AM23" i="2" s="1"/>
  <c r="W23" i="2"/>
  <c r="O23" i="2"/>
  <c r="V23" i="2" s="1"/>
  <c r="AR22" i="2"/>
  <c r="AO22" i="2"/>
  <c r="AL22" i="2"/>
  <c r="AK22" i="2"/>
  <c r="O22" i="2"/>
  <c r="X22" i="2" s="1"/>
  <c r="AR21" i="2"/>
  <c r="AO21" i="2"/>
  <c r="AL21" i="2"/>
  <c r="AT21" i="2" s="1"/>
  <c r="AK21" i="2"/>
  <c r="X21" i="2"/>
  <c r="V21" i="2"/>
  <c r="O21" i="2"/>
  <c r="W21" i="2" s="1"/>
  <c r="AR20" i="2"/>
  <c r="AO20" i="2"/>
  <c r="AL20" i="2"/>
  <c r="AK20" i="2"/>
  <c r="O20" i="2"/>
  <c r="W20" i="2" s="1"/>
  <c r="AT19" i="2"/>
  <c r="AR19" i="2"/>
  <c r="AO19" i="2"/>
  <c r="AL19" i="2"/>
  <c r="AK19" i="2"/>
  <c r="O19" i="2"/>
  <c r="X19" i="2" s="1"/>
  <c r="AR18" i="2"/>
  <c r="AT18" i="2" s="1"/>
  <c r="AO18" i="2"/>
  <c r="AK18" i="2"/>
  <c r="X18" i="2"/>
  <c r="O18" i="2"/>
  <c r="W18" i="2" s="1"/>
  <c r="AR17" i="2"/>
  <c r="AO17" i="2"/>
  <c r="AL17" i="2"/>
  <c r="AT17" i="2" s="1"/>
  <c r="AK17" i="2"/>
  <c r="O17" i="2"/>
  <c r="BI16" i="2"/>
  <c r="BI45" i="2" s="1"/>
  <c r="BI80" i="2" s="1"/>
  <c r="BE16" i="2"/>
  <c r="AZ16" i="2"/>
  <c r="AP16" i="2"/>
  <c r="AP45" i="2" s="1"/>
  <c r="AP80" i="2" s="1"/>
  <c r="AO16" i="2"/>
  <c r="AN16" i="2"/>
  <c r="AN45" i="2" s="1"/>
  <c r="AN80" i="2" s="1"/>
  <c r="AM16" i="2"/>
  <c r="AL16" i="2"/>
  <c r="AK16" i="2"/>
  <c r="O16" i="2"/>
  <c r="AF9" i="2"/>
  <c r="AF8" i="2"/>
  <c r="AF7" i="2"/>
  <c r="AF5" i="2"/>
  <c r="AF4" i="2"/>
  <c r="AU29" i="2" l="1"/>
  <c r="AU43" i="2"/>
  <c r="V19" i="2"/>
  <c r="AQ19" i="2" s="1"/>
  <c r="AS19" i="2" s="1"/>
  <c r="X23" i="2"/>
  <c r="W24" i="2"/>
  <c r="AS26" i="2"/>
  <c r="AS27" i="2"/>
  <c r="W28" i="2"/>
  <c r="V31" i="2"/>
  <c r="W38" i="2"/>
  <c r="W39" i="2"/>
  <c r="AB39" i="2" s="1"/>
  <c r="AT39" i="2"/>
  <c r="Y49" i="2"/>
  <c r="Y50" i="2"/>
  <c r="Y51" i="2"/>
  <c r="AB51" i="2" s="1"/>
  <c r="Y52" i="2"/>
  <c r="AB52" i="2" s="1"/>
  <c r="Y53" i="2"/>
  <c r="Y54" i="2"/>
  <c r="AE26" i="3"/>
  <c r="AF26" i="3" s="1"/>
  <c r="W19" i="2"/>
  <c r="X20" i="2"/>
  <c r="AU23" i="2"/>
  <c r="AU26" i="2"/>
  <c r="AB27" i="2"/>
  <c r="AC27" i="2" s="1"/>
  <c r="W31" i="2"/>
  <c r="AS33" i="2"/>
  <c r="X38" i="2"/>
  <c r="X44" i="2"/>
  <c r="AB44" i="2" s="1"/>
  <c r="Z48" i="2"/>
  <c r="Z49" i="2"/>
  <c r="Z50" i="2"/>
  <c r="Z53" i="2"/>
  <c r="Z54" i="2"/>
  <c r="Z55" i="2"/>
  <c r="AA57" i="2"/>
  <c r="AS25" i="2"/>
  <c r="AS28" i="2"/>
  <c r="AS31" i="2"/>
  <c r="AU31" i="2" s="1"/>
  <c r="AS32" i="2"/>
  <c r="AU32" i="2" s="1"/>
  <c r="AM33" i="2"/>
  <c r="AU33" i="2" s="1"/>
  <c r="AS40" i="2"/>
  <c r="AS44" i="2"/>
  <c r="AB48" i="2"/>
  <c r="AA54" i="2"/>
  <c r="AB21" i="2"/>
  <c r="AB24" i="2"/>
  <c r="AB28" i="2"/>
  <c r="AC28" i="2" s="1"/>
  <c r="AU40" i="2"/>
  <c r="AD26" i="3"/>
  <c r="BG26" i="3"/>
  <c r="AE25" i="3"/>
  <c r="AF25" i="3" s="1"/>
  <c r="BD36" i="3"/>
  <c r="BK36" i="3" s="1"/>
  <c r="AD25" i="3"/>
  <c r="BD25" i="3" s="1"/>
  <c r="BK25" i="3" s="1"/>
  <c r="AD20" i="3"/>
  <c r="AE20" i="3" s="1"/>
  <c r="AF20" i="3" s="1"/>
  <c r="AE36" i="3"/>
  <c r="AF36" i="3" s="1"/>
  <c r="AD29" i="3"/>
  <c r="BD44" i="3"/>
  <c r="BK44" i="3" s="1"/>
  <c r="AE44" i="3"/>
  <c r="AF44" i="3" s="1"/>
  <c r="AE35" i="3"/>
  <c r="AF35" i="3" s="1"/>
  <c r="BL35" i="3" s="1"/>
  <c r="AE69" i="3"/>
  <c r="BM69" i="3" s="1"/>
  <c r="AE65" i="3"/>
  <c r="AF65" i="3" s="1"/>
  <c r="BL65" i="3" s="1"/>
  <c r="AE75" i="3"/>
  <c r="BM75" i="3" s="1"/>
  <c r="AE66" i="3"/>
  <c r="BM66" i="3" s="1"/>
  <c r="BL25" i="3"/>
  <c r="AE73" i="3"/>
  <c r="BM73" i="3" s="1"/>
  <c r="BO79" i="3"/>
  <c r="AE74" i="3"/>
  <c r="BM74" i="3" s="1"/>
  <c r="BG32" i="3"/>
  <c r="BD32" i="3"/>
  <c r="BK32" i="3" s="1"/>
  <c r="BO51" i="3"/>
  <c r="AU18" i="3"/>
  <c r="BD39" i="3"/>
  <c r="BK39" i="3" s="1"/>
  <c r="BG17" i="3"/>
  <c r="BK17" i="3" s="1"/>
  <c r="BO54" i="3"/>
  <c r="BN54" i="3"/>
  <c r="AC59" i="3"/>
  <c r="AB58" i="3"/>
  <c r="AB46" i="3" s="1"/>
  <c r="AE52" i="3"/>
  <c r="BM52" i="3" s="1"/>
  <c r="AC47" i="3"/>
  <c r="AC24" i="3"/>
  <c r="AD24" i="3" s="1"/>
  <c r="AF37" i="3"/>
  <c r="AC28" i="3"/>
  <c r="AC33" i="3"/>
  <c r="AD33" i="3" s="1"/>
  <c r="BG33" i="3" s="1"/>
  <c r="AE60" i="3"/>
  <c r="AF60" i="3" s="1"/>
  <c r="BL60" i="3" s="1"/>
  <c r="AD57" i="3"/>
  <c r="AF61" i="3"/>
  <c r="BL61" i="3" s="1"/>
  <c r="AE72" i="3"/>
  <c r="BM72" i="3" s="1"/>
  <c r="AE71" i="3"/>
  <c r="BM71" i="3" s="1"/>
  <c r="AE22" i="3"/>
  <c r="AF22" i="3" s="1"/>
  <c r="BL22" i="3" s="1"/>
  <c r="AU24" i="3"/>
  <c r="AE68" i="3"/>
  <c r="BM68" i="3" s="1"/>
  <c r="AC67" i="3"/>
  <c r="AD67" i="3" s="1"/>
  <c r="AC18" i="3"/>
  <c r="AE39" i="3"/>
  <c r="AF39" i="3" s="1"/>
  <c r="AE62" i="3"/>
  <c r="BM62" i="3" s="1"/>
  <c r="AE70" i="3"/>
  <c r="BM70" i="3" s="1"/>
  <c r="AE64" i="3"/>
  <c r="BM64" i="3" s="1"/>
  <c r="AE63" i="3"/>
  <c r="AF63" i="3" s="1"/>
  <c r="BL63" i="3" s="1"/>
  <c r="AD78" i="3"/>
  <c r="AE56" i="3"/>
  <c r="BM56" i="3" s="1"/>
  <c r="AE34" i="3"/>
  <c r="AF34" i="3" s="1"/>
  <c r="BM79" i="3"/>
  <c r="BN79" i="3" s="1"/>
  <c r="AE32" i="3"/>
  <c r="AF32" i="3" s="1"/>
  <c r="AD16" i="3"/>
  <c r="BL48" i="3"/>
  <c r="AD23" i="3"/>
  <c r="AE31" i="3"/>
  <c r="AF31" i="3" s="1"/>
  <c r="AD38" i="3"/>
  <c r="BD38" i="3" s="1"/>
  <c r="BK38" i="3" s="1"/>
  <c r="AQ45" i="3"/>
  <c r="AQ80" i="3" s="1"/>
  <c r="BD61" i="3"/>
  <c r="BD58" i="3" s="1"/>
  <c r="BD46" i="3" s="1"/>
  <c r="BD34" i="3"/>
  <c r="BK34" i="3" s="1"/>
  <c r="AD43" i="3"/>
  <c r="AE43" i="3" s="1"/>
  <c r="AF62" i="3"/>
  <c r="BL62" i="3" s="1"/>
  <c r="BM77" i="3"/>
  <c r="AE17" i="3"/>
  <c r="BM17" i="3" s="1"/>
  <c r="BD37" i="3"/>
  <c r="BK37" i="3" s="1"/>
  <c r="AD27" i="3"/>
  <c r="AE27" i="3" s="1"/>
  <c r="AC19" i="3"/>
  <c r="AD19" i="3" s="1"/>
  <c r="AB45" i="3"/>
  <c r="AD21" i="3"/>
  <c r="AE21" i="3" s="1"/>
  <c r="AF21" i="3" s="1"/>
  <c r="AC21" i="3"/>
  <c r="BD26" i="3"/>
  <c r="AD30" i="3"/>
  <c r="BD30" i="3" s="1"/>
  <c r="AC41" i="3"/>
  <c r="BG31" i="3"/>
  <c r="BD31" i="3"/>
  <c r="AC40" i="3"/>
  <c r="AF77" i="3"/>
  <c r="BM51" i="3"/>
  <c r="BM25" i="3"/>
  <c r="BM39" i="3"/>
  <c r="AD42" i="3"/>
  <c r="AS45" i="3"/>
  <c r="AS80" i="3" s="1"/>
  <c r="BE45" i="2"/>
  <c r="BE80" i="2" s="1"/>
  <c r="BE26" i="2"/>
  <c r="BE42" i="2" s="1"/>
  <c r="AT38" i="2"/>
  <c r="X41" i="2"/>
  <c r="W41" i="2"/>
  <c r="V41" i="2"/>
  <c r="AC50" i="2"/>
  <c r="AD50" i="2" s="1"/>
  <c r="AE50" i="2" s="1"/>
  <c r="AF50" i="2" s="1"/>
  <c r="BL50" i="2" s="1"/>
  <c r="O80" i="2"/>
  <c r="W16" i="2"/>
  <c r="V16" i="2"/>
  <c r="AB19" i="2"/>
  <c r="AU25" i="2"/>
  <c r="AC37" i="2"/>
  <c r="AD37" i="2" s="1"/>
  <c r="BD37" i="2" s="1"/>
  <c r="BK37" i="2" s="1"/>
  <c r="W43" i="2"/>
  <c r="V43" i="2"/>
  <c r="X43" i="2"/>
  <c r="AC52" i="2"/>
  <c r="X16" i="2"/>
  <c r="V17" i="2"/>
  <c r="AT20" i="2"/>
  <c r="X17" i="2"/>
  <c r="W17" i="2"/>
  <c r="AC24" i="2"/>
  <c r="AD24" i="2" s="1"/>
  <c r="BG24" i="2" s="1"/>
  <c r="AL45" i="2"/>
  <c r="AL80" i="2" s="1"/>
  <c r="AC21" i="2"/>
  <c r="AQ21" i="2"/>
  <c r="AS21" i="2" s="1"/>
  <c r="AQ24" i="2"/>
  <c r="AS24" i="2" s="1"/>
  <c r="W32" i="2"/>
  <c r="V32" i="2"/>
  <c r="X32" i="2"/>
  <c r="AC34" i="2"/>
  <c r="AC35" i="2"/>
  <c r="AD79" i="2"/>
  <c r="AE79" i="2" s="1"/>
  <c r="AF79" i="2" s="1"/>
  <c r="BL79" i="2" s="1"/>
  <c r="AC79" i="2"/>
  <c r="X40" i="2"/>
  <c r="W40" i="2"/>
  <c r="AC54" i="2"/>
  <c r="AA60" i="2"/>
  <c r="AB60" i="2" s="1"/>
  <c r="Z60" i="2"/>
  <c r="AZ45" i="2"/>
  <c r="AZ80" i="2" s="1"/>
  <c r="V20" i="2"/>
  <c r="V22" i="2"/>
  <c r="V25" i="2"/>
  <c r="W29" i="2"/>
  <c r="V29" i="2"/>
  <c r="W36" i="2"/>
  <c r="V36" i="2"/>
  <c r="V40" i="2"/>
  <c r="AO45" i="2"/>
  <c r="AO80" i="2" s="1"/>
  <c r="AC49" i="2"/>
  <c r="AC53" i="2"/>
  <c r="W30" i="2"/>
  <c r="V30" i="2"/>
  <c r="W42" i="2"/>
  <c r="V42" i="2"/>
  <c r="X42" i="2"/>
  <c r="AD57" i="2"/>
  <c r="AC57" i="2"/>
  <c r="Z68" i="2"/>
  <c r="Y68" i="2"/>
  <c r="AB68" i="2" s="1"/>
  <c r="AR16" i="2"/>
  <c r="AT22" i="2"/>
  <c r="AT26" i="2"/>
  <c r="AD27" i="2"/>
  <c r="AE27" i="2" s="1"/>
  <c r="AF27" i="2" s="1"/>
  <c r="AK45" i="2"/>
  <c r="AK80" i="2" s="1"/>
  <c r="V18" i="2"/>
  <c r="W22" i="2"/>
  <c r="AB23" i="2"/>
  <c r="X25" i="2"/>
  <c r="W26" i="2"/>
  <c r="AB26" i="2" s="1"/>
  <c r="AM27" i="2"/>
  <c r="AM28" i="2"/>
  <c r="AU28" i="2" s="1"/>
  <c r="X29" i="2"/>
  <c r="X33" i="2"/>
  <c r="W33" i="2"/>
  <c r="AB33" i="2" s="1"/>
  <c r="X36" i="2"/>
  <c r="P80" i="2"/>
  <c r="AE55" i="2"/>
  <c r="AD55" i="2"/>
  <c r="AF55" i="2" s="1"/>
  <c r="BL55" i="2" s="1"/>
  <c r="AA64" i="2"/>
  <c r="AB64" i="2" s="1"/>
  <c r="Z64" i="2"/>
  <c r="Z72" i="2"/>
  <c r="Y72" i="2"/>
  <c r="AB72" i="2" s="1"/>
  <c r="Z56" i="2"/>
  <c r="Z47" i="2" s="1"/>
  <c r="Y56" i="2"/>
  <c r="Y47" i="2" s="1"/>
  <c r="AA61" i="2"/>
  <c r="AB61" i="2" s="1"/>
  <c r="Z61" i="2"/>
  <c r="AA65" i="2"/>
  <c r="AB65" i="2" s="1"/>
  <c r="Z65" i="2"/>
  <c r="Z69" i="2"/>
  <c r="Y69" i="2"/>
  <c r="AB69" i="2" s="1"/>
  <c r="Z73" i="2"/>
  <c r="Y73" i="2"/>
  <c r="AB73" i="2" s="1"/>
  <c r="BH45" i="2"/>
  <c r="BH80" i="2" s="1"/>
  <c r="AM44" i="2"/>
  <c r="AU44" i="2" s="1"/>
  <c r="AB56" i="2"/>
  <c r="AC78" i="2"/>
  <c r="AD78" i="2" s="1"/>
  <c r="AG80" i="2"/>
  <c r="AA55" i="2"/>
  <c r="AA47" i="2" s="1"/>
  <c r="Z57" i="2"/>
  <c r="Y57" i="2"/>
  <c r="AA59" i="2"/>
  <c r="Z59" i="2"/>
  <c r="AA63" i="2"/>
  <c r="AB63" i="2" s="1"/>
  <c r="Z63" i="2"/>
  <c r="Z67" i="2"/>
  <c r="Y67" i="2"/>
  <c r="Z71" i="2"/>
  <c r="Y71" i="2"/>
  <c r="AB71" i="2" s="1"/>
  <c r="Z75" i="2"/>
  <c r="Y75" i="2"/>
  <c r="AB75" i="2" s="1"/>
  <c r="AB77" i="2"/>
  <c r="V76" i="2"/>
  <c r="V46" i="2" s="1"/>
  <c r="AA62" i="2"/>
  <c r="AB62" i="2" s="1"/>
  <c r="Z62" i="2"/>
  <c r="AA66" i="2"/>
  <c r="AB66" i="2" s="1"/>
  <c r="Z66" i="2"/>
  <c r="Z70" i="2"/>
  <c r="AB70" i="2" s="1"/>
  <c r="Y70" i="2"/>
  <c r="Z74" i="2"/>
  <c r="AB74" i="2" s="1"/>
  <c r="Y74" i="2"/>
  <c r="BH36" i="1"/>
  <c r="BH29" i="1"/>
  <c r="AC39" i="2" l="1"/>
  <c r="AE39" i="2" s="1"/>
  <c r="AD39" i="2"/>
  <c r="AC44" i="2"/>
  <c r="AD44" i="2"/>
  <c r="BD44" i="2" s="1"/>
  <c r="BK44" i="2" s="1"/>
  <c r="BM63" i="3"/>
  <c r="AU27" i="2"/>
  <c r="AB42" i="2"/>
  <c r="AC51" i="2"/>
  <c r="AD51" i="2" s="1"/>
  <c r="AE51" i="2" s="1"/>
  <c r="AF51" i="2" s="1"/>
  <c r="BL51" i="2" s="1"/>
  <c r="AD49" i="2"/>
  <c r="AE49" i="2" s="1"/>
  <c r="AD28" i="2"/>
  <c r="BK26" i="3"/>
  <c r="BL44" i="3"/>
  <c r="BO44" i="3" s="1"/>
  <c r="AB38" i="2"/>
  <c r="AC38" i="2" s="1"/>
  <c r="AB30" i="2"/>
  <c r="AC48" i="2"/>
  <c r="AD48" i="2" s="1"/>
  <c r="AF17" i="3"/>
  <c r="BL17" i="3" s="1"/>
  <c r="AF72" i="3"/>
  <c r="BL72" i="3" s="1"/>
  <c r="BM60" i="3"/>
  <c r="AB31" i="2"/>
  <c r="AC31" i="2" s="1"/>
  <c r="AB29" i="2"/>
  <c r="AC29" i="2" s="1"/>
  <c r="AB41" i="2"/>
  <c r="BL32" i="3"/>
  <c r="AE67" i="3"/>
  <c r="AF67" i="3" s="1"/>
  <c r="BL67" i="3" s="1"/>
  <c r="BO67" i="3" s="1"/>
  <c r="BD23" i="3"/>
  <c r="AF64" i="3"/>
  <c r="BL64" i="3" s="1"/>
  <c r="AF73" i="3"/>
  <c r="BL73" i="3" s="1"/>
  <c r="BO73" i="3" s="1"/>
  <c r="AF69" i="3"/>
  <c r="BL69" i="3" s="1"/>
  <c r="BO69" i="3" s="1"/>
  <c r="AF70" i="3"/>
  <c r="BL70" i="3" s="1"/>
  <c r="AF68" i="3"/>
  <c r="BL68" i="3" s="1"/>
  <c r="AC58" i="3"/>
  <c r="AC46" i="3" s="1"/>
  <c r="AF71" i="3"/>
  <c r="BL71" i="3" s="1"/>
  <c r="BO71" i="3" s="1"/>
  <c r="BL39" i="3"/>
  <c r="BL36" i="3"/>
  <c r="BM36" i="3"/>
  <c r="AF52" i="3"/>
  <c r="BL52" i="3" s="1"/>
  <c r="BO52" i="3" s="1"/>
  <c r="BD19" i="3"/>
  <c r="AE19" i="3"/>
  <c r="AF19" i="3" s="1"/>
  <c r="BD40" i="3"/>
  <c r="BK40" i="3" s="1"/>
  <c r="BO35" i="3"/>
  <c r="BD29" i="3"/>
  <c r="AE29" i="3"/>
  <c r="AF29" i="3" s="1"/>
  <c r="AD40" i="3"/>
  <c r="BD21" i="3"/>
  <c r="BM21" i="3" s="1"/>
  <c r="BD43" i="3"/>
  <c r="BK43" i="3" s="1"/>
  <c r="BM35" i="3"/>
  <c r="BN35" i="3" s="1"/>
  <c r="AE40" i="3"/>
  <c r="AE38" i="3"/>
  <c r="AF38" i="3" s="1"/>
  <c r="BL38" i="3" s="1"/>
  <c r="BG21" i="3"/>
  <c r="AD28" i="3"/>
  <c r="BD28" i="3" s="1"/>
  <c r="BG20" i="3"/>
  <c r="BD20" i="3"/>
  <c r="BM20" i="3" s="1"/>
  <c r="BM22" i="3"/>
  <c r="BN22" i="3" s="1"/>
  <c r="BK31" i="3"/>
  <c r="BL31" i="3" s="1"/>
  <c r="BG19" i="3"/>
  <c r="BM37" i="3"/>
  <c r="BL34" i="3"/>
  <c r="BO34" i="3" s="1"/>
  <c r="BM44" i="3"/>
  <c r="BN44" i="3" s="1"/>
  <c r="BG29" i="3"/>
  <c r="BO65" i="3"/>
  <c r="BO22" i="3"/>
  <c r="BD24" i="3"/>
  <c r="BG24" i="3"/>
  <c r="BO32" i="3"/>
  <c r="BN52" i="3"/>
  <c r="BO70" i="3"/>
  <c r="BN70" i="3"/>
  <c r="BO61" i="3"/>
  <c r="BN61" i="3"/>
  <c r="BO62" i="3"/>
  <c r="BN62" i="3"/>
  <c r="BM31" i="3"/>
  <c r="BL26" i="3"/>
  <c r="BM32" i="3"/>
  <c r="BN32" i="3" s="1"/>
  <c r="AE57" i="3"/>
  <c r="AE47" i="3" s="1"/>
  <c r="AE30" i="3"/>
  <c r="BM30" i="3" s="1"/>
  <c r="AC45" i="3"/>
  <c r="AF74" i="3"/>
  <c r="BL74" i="3" s="1"/>
  <c r="BN39" i="3"/>
  <c r="BO39" i="3"/>
  <c r="AF66" i="3"/>
  <c r="BL66" i="3" s="1"/>
  <c r="AF75" i="3"/>
  <c r="BL75" i="3" s="1"/>
  <c r="BM65" i="3"/>
  <c r="BN65" i="3" s="1"/>
  <c r="BG40" i="3"/>
  <c r="BM19" i="3"/>
  <c r="AF56" i="3"/>
  <c r="BL56" i="3" s="1"/>
  <c r="BO63" i="3"/>
  <c r="BN63" i="3"/>
  <c r="AF43" i="3"/>
  <c r="BL43" i="3" s="1"/>
  <c r="BO68" i="3"/>
  <c r="BN68" i="3"/>
  <c r="AD47" i="3"/>
  <c r="BM26" i="3"/>
  <c r="BO36" i="3"/>
  <c r="BN36" i="3"/>
  <c r="BM43" i="3"/>
  <c r="AD18" i="3"/>
  <c r="BD18" i="3" s="1"/>
  <c r="BM34" i="3"/>
  <c r="BL37" i="3"/>
  <c r="AD59" i="3"/>
  <c r="BD27" i="3" s="1"/>
  <c r="BN51" i="3"/>
  <c r="BO25" i="3"/>
  <c r="BN25" i="3"/>
  <c r="AB80" i="3"/>
  <c r="BO72" i="3"/>
  <c r="BN72" i="3"/>
  <c r="AF27" i="3"/>
  <c r="BM78" i="3"/>
  <c r="BM76" i="3" s="1"/>
  <c r="AD76" i="3"/>
  <c r="AE78" i="3"/>
  <c r="AE76" i="3" s="1"/>
  <c r="BD33" i="3"/>
  <c r="BK33" i="3" s="1"/>
  <c r="BD42" i="3"/>
  <c r="BG42" i="3"/>
  <c r="AE42" i="3"/>
  <c r="AF42" i="3" s="1"/>
  <c r="BL77" i="3"/>
  <c r="BO60" i="3"/>
  <c r="BN60" i="3"/>
  <c r="AD41" i="3"/>
  <c r="BD41" i="3" s="1"/>
  <c r="BG30" i="3"/>
  <c r="BK30" i="3" s="1"/>
  <c r="BO64" i="3"/>
  <c r="BN64" i="3"/>
  <c r="AE23" i="3"/>
  <c r="BM23" i="3" s="1"/>
  <c r="BO48" i="3"/>
  <c r="BN48" i="3"/>
  <c r="BG16" i="3"/>
  <c r="BG23" i="3"/>
  <c r="BK23" i="3" s="1"/>
  <c r="AE33" i="3"/>
  <c r="AF33" i="3" s="1"/>
  <c r="BL33" i="3" s="1"/>
  <c r="BD16" i="3"/>
  <c r="AE24" i="3"/>
  <c r="AF24" i="3" s="1"/>
  <c r="AE16" i="3"/>
  <c r="BO79" i="2"/>
  <c r="BN79" i="2"/>
  <c r="AU24" i="2"/>
  <c r="BN50" i="2"/>
  <c r="BO50" i="2"/>
  <c r="AB76" i="2"/>
  <c r="AC77" i="2"/>
  <c r="AC76" i="2" s="1"/>
  <c r="AC63" i="2"/>
  <c r="AD63" i="2" s="1"/>
  <c r="AC56" i="2"/>
  <c r="AD56" i="2" s="1"/>
  <c r="AC65" i="2"/>
  <c r="AD65" i="2" s="1"/>
  <c r="AC64" i="2"/>
  <c r="AD64" i="2" s="1"/>
  <c r="AC26" i="2"/>
  <c r="AD26" i="2" s="1"/>
  <c r="AE26" i="2" s="1"/>
  <c r="AF26" i="2" s="1"/>
  <c r="AC68" i="2"/>
  <c r="AD68" i="2" s="1"/>
  <c r="AC42" i="2"/>
  <c r="AC30" i="2"/>
  <c r="AC33" i="2"/>
  <c r="AC41" i="2"/>
  <c r="AC70" i="2"/>
  <c r="AD70" i="2" s="1"/>
  <c r="AC75" i="2"/>
  <c r="AD75" i="2" s="1"/>
  <c r="AB67" i="2"/>
  <c r="Y58" i="2"/>
  <c r="AE78" i="2"/>
  <c r="AF78" i="2" s="1"/>
  <c r="BL78" i="2" s="1"/>
  <c r="AC69" i="2"/>
  <c r="AC72" i="2"/>
  <c r="AD54" i="2"/>
  <c r="BM54" i="2" s="1"/>
  <c r="AD53" i="2"/>
  <c r="X45" i="2"/>
  <c r="X80" i="2" s="1"/>
  <c r="AD52" i="2"/>
  <c r="AD31" i="2"/>
  <c r="AB59" i="2"/>
  <c r="AA58" i="2"/>
  <c r="AA46" i="2" s="1"/>
  <c r="AA80" i="2" s="1"/>
  <c r="AC61" i="2"/>
  <c r="AE44" i="2"/>
  <c r="BM55" i="2"/>
  <c r="AB40" i="2"/>
  <c r="AB36" i="2"/>
  <c r="AB25" i="2"/>
  <c r="AQ20" i="2"/>
  <c r="AS20" i="2" s="1"/>
  <c r="AB20" i="2"/>
  <c r="AF54" i="2"/>
  <c r="BL54" i="2" s="1"/>
  <c r="AD35" i="2"/>
  <c r="BD35" i="2" s="1"/>
  <c r="BK35" i="2" s="1"/>
  <c r="AB32" i="2"/>
  <c r="AE24" i="2"/>
  <c r="BM24" i="2" s="1"/>
  <c r="BM37" i="2"/>
  <c r="AE37" i="2"/>
  <c r="AF37" i="2" s="1"/>
  <c r="BL37" i="2" s="1"/>
  <c r="W45" i="2"/>
  <c r="W80" i="2" s="1"/>
  <c r="AE57" i="2"/>
  <c r="AF57" i="2" s="1"/>
  <c r="BL57" i="2" s="1"/>
  <c r="V45" i="2"/>
  <c r="V80" i="2" s="1"/>
  <c r="AB16" i="2"/>
  <c r="AQ16" i="2"/>
  <c r="AC62" i="2"/>
  <c r="Z58" i="2"/>
  <c r="Z46" i="2" s="1"/>
  <c r="Z80" i="2" s="1"/>
  <c r="BN55" i="2"/>
  <c r="BO55" i="2"/>
  <c r="AQ18" i="2"/>
  <c r="AS18" i="2" s="1"/>
  <c r="AB18" i="2"/>
  <c r="AC60" i="2"/>
  <c r="AD60" i="2" s="1"/>
  <c r="AC74" i="2"/>
  <c r="AD74" i="2" s="1"/>
  <c r="AC66" i="2"/>
  <c r="AD66" i="2" s="1"/>
  <c r="AC71" i="2"/>
  <c r="AD71" i="2" s="1"/>
  <c r="AC73" i="2"/>
  <c r="AD73" i="2" s="1"/>
  <c r="Y46" i="2"/>
  <c r="Y80" i="2" s="1"/>
  <c r="AD23" i="2"/>
  <c r="AE23" i="2" s="1"/>
  <c r="AC23" i="2"/>
  <c r="AR45" i="2"/>
  <c r="AR80" i="2" s="1"/>
  <c r="AT16" i="2"/>
  <c r="AT45" i="2" s="1"/>
  <c r="AT80" i="2" s="1"/>
  <c r="BM49" i="2"/>
  <c r="AQ22" i="2"/>
  <c r="AS22" i="2" s="1"/>
  <c r="AB22" i="2"/>
  <c r="BM79" i="2"/>
  <c r="AB47" i="2"/>
  <c r="AD34" i="2"/>
  <c r="BD34" i="2" s="1"/>
  <c r="BK34" i="2" s="1"/>
  <c r="BD24" i="2"/>
  <c r="BK24" i="2" s="1"/>
  <c r="AF24" i="2"/>
  <c r="AD21" i="2"/>
  <c r="AQ17" i="2"/>
  <c r="AS17" i="2" s="1"/>
  <c r="AB17" i="2"/>
  <c r="AB43" i="2"/>
  <c r="AD19" i="2"/>
  <c r="BD19" i="2" s="1"/>
  <c r="AC19" i="2"/>
  <c r="BM50" i="2"/>
  <c r="O57" i="1"/>
  <c r="AB57" i="1" s="1"/>
  <c r="AC57" i="1" s="1"/>
  <c r="AZ43" i="1"/>
  <c r="AZ40" i="1"/>
  <c r="AE48" i="2" l="1"/>
  <c r="AF48" i="2"/>
  <c r="BM48" i="2"/>
  <c r="AF31" i="2"/>
  <c r="AD77" i="2"/>
  <c r="BM67" i="3"/>
  <c r="BN67" i="3" s="1"/>
  <c r="AE28" i="3"/>
  <c r="AF28" i="3" s="1"/>
  <c r="AE35" i="2"/>
  <c r="AD38" i="2"/>
  <c r="BD38" i="2" s="1"/>
  <c r="BK38" i="2" s="1"/>
  <c r="AE31" i="2"/>
  <c r="BN71" i="3"/>
  <c r="BG28" i="3"/>
  <c r="BN69" i="3"/>
  <c r="BK20" i="3"/>
  <c r="BL20" i="3" s="1"/>
  <c r="BN20" i="3" s="1"/>
  <c r="AE28" i="2"/>
  <c r="AF28" i="2" s="1"/>
  <c r="AF39" i="2"/>
  <c r="BD54" i="2"/>
  <c r="BD47" i="2" s="1"/>
  <c r="BN31" i="3"/>
  <c r="BM40" i="3"/>
  <c r="AF49" i="2"/>
  <c r="BL49" i="2" s="1"/>
  <c r="BK28" i="3"/>
  <c r="BL28" i="3" s="1"/>
  <c r="BN73" i="3"/>
  <c r="AC80" i="3"/>
  <c r="BO20" i="3"/>
  <c r="BG18" i="3"/>
  <c r="BK18" i="3" s="1"/>
  <c r="BM24" i="3"/>
  <c r="BK29" i="3"/>
  <c r="BL29" i="3" s="1"/>
  <c r="BK42" i="3"/>
  <c r="BL42" i="3" s="1"/>
  <c r="BO42" i="3" s="1"/>
  <c r="AF30" i="3"/>
  <c r="BO31" i="3"/>
  <c r="BK21" i="3"/>
  <c r="BL21" i="3" s="1"/>
  <c r="BO21" i="3" s="1"/>
  <c r="BK19" i="3"/>
  <c r="BL19" i="3" s="1"/>
  <c r="BN34" i="3"/>
  <c r="BM38" i="3"/>
  <c r="BM29" i="3"/>
  <c r="AF40" i="3"/>
  <c r="BL40" i="3" s="1"/>
  <c r="BM27" i="3"/>
  <c r="BO33" i="3"/>
  <c r="BO28" i="3"/>
  <c r="BM33" i="3"/>
  <c r="BN33" i="3" s="1"/>
  <c r="BD45" i="3"/>
  <c r="BD80" i="3" s="1"/>
  <c r="BK16" i="3"/>
  <c r="BO37" i="3"/>
  <c r="BN37" i="3"/>
  <c r="BM57" i="3"/>
  <c r="BM47" i="3" s="1"/>
  <c r="BO26" i="3"/>
  <c r="BN26" i="3"/>
  <c r="BM42" i="3"/>
  <c r="BM16" i="3"/>
  <c r="AD45" i="3"/>
  <c r="AF23" i="3"/>
  <c r="BL23" i="3" s="1"/>
  <c r="BO17" i="3"/>
  <c r="BN17" i="3"/>
  <c r="BM28" i="3"/>
  <c r="AE18" i="3"/>
  <c r="BM18" i="3" s="1"/>
  <c r="BO56" i="3"/>
  <c r="BN56" i="3"/>
  <c r="BO75" i="3"/>
  <c r="BN75" i="3"/>
  <c r="BO74" i="3"/>
  <c r="BN74" i="3"/>
  <c r="AE41" i="3"/>
  <c r="AF41" i="3" s="1"/>
  <c r="BG41" i="3"/>
  <c r="BK41" i="3" s="1"/>
  <c r="AD58" i="3"/>
  <c r="AD46" i="3" s="1"/>
  <c r="AE59" i="3"/>
  <c r="AE58" i="3" s="1"/>
  <c r="AE46" i="3" s="1"/>
  <c r="BG27" i="3"/>
  <c r="BG45" i="3" s="1"/>
  <c r="BG80" i="3" s="1"/>
  <c r="BO77" i="3"/>
  <c r="BN77" i="3"/>
  <c r="BL30" i="3"/>
  <c r="AF57" i="3"/>
  <c r="AF16" i="3"/>
  <c r="BO43" i="3"/>
  <c r="BN43" i="3"/>
  <c r="BO66" i="3"/>
  <c r="BN66" i="3"/>
  <c r="AF78" i="3"/>
  <c r="BK24" i="3"/>
  <c r="BL24" i="3" s="1"/>
  <c r="BN38" i="3"/>
  <c r="BO38" i="3"/>
  <c r="AE66" i="2"/>
  <c r="BM66" i="2" s="1"/>
  <c r="AE60" i="2"/>
  <c r="BM60" i="2" s="1"/>
  <c r="BO57" i="2"/>
  <c r="BO78" i="2"/>
  <c r="BM73" i="2"/>
  <c r="AF73" i="2"/>
  <c r="BL73" i="2" s="1"/>
  <c r="AE73" i="2"/>
  <c r="BO51" i="2"/>
  <c r="AE68" i="2"/>
  <c r="AF68" i="2" s="1"/>
  <c r="BL68" i="2" s="1"/>
  <c r="AE64" i="2"/>
  <c r="AF64" i="2" s="1"/>
  <c r="BL64" i="2" s="1"/>
  <c r="BD21" i="2"/>
  <c r="BM21" i="2"/>
  <c r="AE74" i="2"/>
  <c r="BM74" i="2" s="1"/>
  <c r="AE71" i="2"/>
  <c r="BM71" i="2" s="1"/>
  <c r="AF65" i="2"/>
  <c r="BL65" i="2" s="1"/>
  <c r="AE65" i="2"/>
  <c r="BM65" i="2" s="1"/>
  <c r="AU18" i="2"/>
  <c r="BO54" i="2"/>
  <c r="BN54" i="2"/>
  <c r="BM44" i="2"/>
  <c r="AF44" i="2"/>
  <c r="BL44" i="2" s="1"/>
  <c r="AD76" i="2"/>
  <c r="AC43" i="2"/>
  <c r="BG19" i="2"/>
  <c r="BK19" i="2" s="1"/>
  <c r="AC32" i="2"/>
  <c r="AD36" i="2"/>
  <c r="AC36" i="2"/>
  <c r="BD36" i="2" s="1"/>
  <c r="BK36" i="2" s="1"/>
  <c r="AE36" i="2"/>
  <c r="BM53" i="2"/>
  <c r="AE53" i="2"/>
  <c r="BM75" i="2"/>
  <c r="AD33" i="2"/>
  <c r="BO37" i="2"/>
  <c r="BN37" i="2"/>
  <c r="AE19" i="2"/>
  <c r="BM19" i="2" s="1"/>
  <c r="BL48" i="2"/>
  <c r="AQ45" i="2"/>
  <c r="AQ80" i="2" s="1"/>
  <c r="AS16" i="2"/>
  <c r="BG21" i="2"/>
  <c r="AE21" i="2"/>
  <c r="AF21" i="2" s="1"/>
  <c r="AD20" i="2"/>
  <c r="AE20" i="2" s="1"/>
  <c r="AC20" i="2"/>
  <c r="BD20" i="2"/>
  <c r="AC40" i="2"/>
  <c r="AD72" i="2"/>
  <c r="AD69" i="2"/>
  <c r="AE75" i="2"/>
  <c r="AE70" i="2"/>
  <c r="BM70" i="2" s="1"/>
  <c r="AD41" i="2"/>
  <c r="BG41" i="2" s="1"/>
  <c r="BD33" i="2"/>
  <c r="AE33" i="2"/>
  <c r="BG29" i="2"/>
  <c r="AD30" i="2"/>
  <c r="AE30" i="2" s="1"/>
  <c r="AF30" i="2" s="1"/>
  <c r="BM57" i="2"/>
  <c r="BN57" i="2" s="1"/>
  <c r="AE56" i="2"/>
  <c r="AF56" i="2" s="1"/>
  <c r="BL56" i="2" s="1"/>
  <c r="AE63" i="2"/>
  <c r="BM63" i="2" s="1"/>
  <c r="AE77" i="2"/>
  <c r="AE76" i="2" s="1"/>
  <c r="AC17" i="2"/>
  <c r="AD17" i="2" s="1"/>
  <c r="BL24" i="2"/>
  <c r="AE38" i="2"/>
  <c r="BM38" i="2" s="1"/>
  <c r="AD62" i="2"/>
  <c r="AD16" i="2"/>
  <c r="AB45" i="2"/>
  <c r="AC16" i="2"/>
  <c r="AE16" i="2"/>
  <c r="AF35" i="2"/>
  <c r="BL35" i="2" s="1"/>
  <c r="AD61" i="2"/>
  <c r="AF61" i="2" s="1"/>
  <c r="BL61" i="2" s="1"/>
  <c r="AB58" i="2"/>
  <c r="AB46" i="2" s="1"/>
  <c r="AC59" i="2"/>
  <c r="AE52" i="2"/>
  <c r="BM52" i="2" s="1"/>
  <c r="BM35" i="2"/>
  <c r="AC67" i="2"/>
  <c r="AD67" i="2" s="1"/>
  <c r="AF75" i="2"/>
  <c r="BL75" i="2" s="1"/>
  <c r="BG31" i="2"/>
  <c r="AF33" i="2"/>
  <c r="AD47" i="2"/>
  <c r="AD29" i="2"/>
  <c r="AE29" i="2" s="1"/>
  <c r="BM78" i="2"/>
  <c r="BN78" i="2" s="1"/>
  <c r="AF63" i="2"/>
  <c r="BL63" i="2" s="1"/>
  <c r="BG28" i="2"/>
  <c r="AF19" i="2"/>
  <c r="AU17" i="2"/>
  <c r="AE34" i="2"/>
  <c r="BM34" i="2" s="1"/>
  <c r="AC22" i="2"/>
  <c r="AD22" i="2" s="1"/>
  <c r="AF23" i="2"/>
  <c r="AC18" i="2"/>
  <c r="AC47" i="2"/>
  <c r="AD25" i="2"/>
  <c r="BD25" i="2" s="1"/>
  <c r="BK25" i="2" s="1"/>
  <c r="AC25" i="2"/>
  <c r="BD28" i="2"/>
  <c r="BG33" i="2"/>
  <c r="BM51" i="2"/>
  <c r="BN51" i="2" s="1"/>
  <c r="AD42" i="2"/>
  <c r="AE42" i="2" s="1"/>
  <c r="BG26" i="2"/>
  <c r="BD26" i="2"/>
  <c r="BK26" i="2" s="1"/>
  <c r="BL26" i="2" s="1"/>
  <c r="AF77" i="2"/>
  <c r="AF53" i="2"/>
  <c r="BL53" i="2" s="1"/>
  <c r="AD57" i="1"/>
  <c r="AE57" i="1" s="1"/>
  <c r="Z57" i="1"/>
  <c r="Y57" i="1"/>
  <c r="AA57" i="1"/>
  <c r="AE25" i="2" l="1"/>
  <c r="AF25" i="2" s="1"/>
  <c r="BL25" i="2" s="1"/>
  <c r="AF52" i="2"/>
  <c r="BL52" i="2" s="1"/>
  <c r="BG20" i="2"/>
  <c r="AF71" i="2"/>
  <c r="BL71" i="2" s="1"/>
  <c r="BK21" i="2"/>
  <c r="BL21" i="2" s="1"/>
  <c r="BM68" i="2"/>
  <c r="AF59" i="3"/>
  <c r="AF18" i="3"/>
  <c r="BD16" i="2"/>
  <c r="AD40" i="2"/>
  <c r="BM33" i="2"/>
  <c r="AF36" i="2"/>
  <c r="BM64" i="2"/>
  <c r="BM59" i="3"/>
  <c r="BM58" i="3" s="1"/>
  <c r="BN28" i="3"/>
  <c r="BN49" i="2"/>
  <c r="BO49" i="2"/>
  <c r="BL41" i="3"/>
  <c r="BO41" i="3" s="1"/>
  <c r="BN40" i="3"/>
  <c r="BO40" i="3"/>
  <c r="BN19" i="3"/>
  <c r="BO19" i="3"/>
  <c r="BL18" i="3"/>
  <c r="BN29" i="3"/>
  <c r="BO29" i="3"/>
  <c r="BN42" i="3"/>
  <c r="BN21" i="3"/>
  <c r="BL78" i="3"/>
  <c r="AF76" i="3"/>
  <c r="BN18" i="3"/>
  <c r="BO18" i="3"/>
  <c r="BO24" i="3"/>
  <c r="BN24" i="3"/>
  <c r="BK27" i="3"/>
  <c r="BL27" i="3" s="1"/>
  <c r="BL57" i="3"/>
  <c r="AF47" i="3"/>
  <c r="AF58" i="3"/>
  <c r="BL59" i="3"/>
  <c r="BN23" i="3"/>
  <c r="BO23" i="3"/>
  <c r="BM46" i="3"/>
  <c r="BM41" i="3"/>
  <c r="AE45" i="3"/>
  <c r="AE80" i="3" s="1"/>
  <c r="BK45" i="3"/>
  <c r="BK80" i="3" s="1"/>
  <c r="AF45" i="3"/>
  <c r="BL16" i="3"/>
  <c r="AD80" i="3"/>
  <c r="BO30" i="3"/>
  <c r="BN30" i="3"/>
  <c r="BO26" i="2"/>
  <c r="AE67" i="2"/>
  <c r="AF67" i="2" s="1"/>
  <c r="BL67" i="2" s="1"/>
  <c r="BO64" i="2"/>
  <c r="BN64" i="2"/>
  <c r="BO61" i="2"/>
  <c r="BO56" i="2"/>
  <c r="BK20" i="2"/>
  <c r="BO68" i="2"/>
  <c r="BN68" i="2"/>
  <c r="BG17" i="2"/>
  <c r="BD17" i="2"/>
  <c r="AF76" i="2"/>
  <c r="BL76" i="2" s="1"/>
  <c r="BL77" i="2"/>
  <c r="BM28" i="2"/>
  <c r="BK28" i="2"/>
  <c r="BL28" i="2" s="1"/>
  <c r="BL19" i="2"/>
  <c r="BO63" i="2"/>
  <c r="BN63" i="2"/>
  <c r="BO75" i="2"/>
  <c r="BN75" i="2"/>
  <c r="AC58" i="2"/>
  <c r="AC46" i="2" s="1"/>
  <c r="AE72" i="2"/>
  <c r="BM72" i="2" s="1"/>
  <c r="BM56" i="2"/>
  <c r="BM47" i="2" s="1"/>
  <c r="BO44" i="2"/>
  <c r="BN44" i="2"/>
  <c r="BO71" i="2"/>
  <c r="BN71" i="2"/>
  <c r="BO73" i="2"/>
  <c r="BN73" i="2"/>
  <c r="BD30" i="2"/>
  <c r="AD59" i="2"/>
  <c r="AF34" i="2"/>
  <c r="BL34" i="2" s="1"/>
  <c r="BD29" i="2"/>
  <c r="BK29" i="2" s="1"/>
  <c r="AD43" i="2"/>
  <c r="AF43" i="2" s="1"/>
  <c r="AF74" i="2"/>
  <c r="BL74" i="2" s="1"/>
  <c r="AF66" i="2"/>
  <c r="BL66" i="2" s="1"/>
  <c r="AE41" i="2"/>
  <c r="BM25" i="2"/>
  <c r="AD18" i="2"/>
  <c r="BG18" i="2" s="1"/>
  <c r="BM26" i="2"/>
  <c r="BN26" i="2" s="1"/>
  <c r="AF29" i="2"/>
  <c r="BD41" i="2"/>
  <c r="BK41" i="2" s="1"/>
  <c r="AE47" i="2"/>
  <c r="BG16" i="2"/>
  <c r="BN24" i="2"/>
  <c r="BO24" i="2"/>
  <c r="AF47" i="2"/>
  <c r="BM36" i="2"/>
  <c r="AD32" i="2"/>
  <c r="BM76" i="2"/>
  <c r="AF72" i="2"/>
  <c r="BL72" i="2" s="1"/>
  <c r="AF60" i="2"/>
  <c r="BL60" i="2" s="1"/>
  <c r="AB80" i="2"/>
  <c r="BG30" i="2"/>
  <c r="BL36" i="2"/>
  <c r="BO65" i="2"/>
  <c r="BN65" i="2"/>
  <c r="AF38" i="2"/>
  <c r="BL38" i="2" s="1"/>
  <c r="BD22" i="2"/>
  <c r="BK22" i="2" s="1"/>
  <c r="BD23" i="2"/>
  <c r="BG23" i="2"/>
  <c r="BM61" i="2"/>
  <c r="BN61" i="2" s="1"/>
  <c r="BD61" i="2"/>
  <c r="BD46" i="2" s="1"/>
  <c r="AF16" i="2"/>
  <c r="AF20" i="2"/>
  <c r="BL47" i="2"/>
  <c r="BN48" i="2"/>
  <c r="BO48" i="2"/>
  <c r="BN53" i="2"/>
  <c r="BO53" i="2"/>
  <c r="AF42" i="2"/>
  <c r="BD42" i="2"/>
  <c r="BG42" i="2"/>
  <c r="BD18" i="2"/>
  <c r="BK18" i="2" s="1"/>
  <c r="AE22" i="2"/>
  <c r="AF22" i="2" s="1"/>
  <c r="BL22" i="2" s="1"/>
  <c r="BN52" i="2"/>
  <c r="BO52" i="2"/>
  <c r="BM42" i="2"/>
  <c r="AF70" i="2"/>
  <c r="BL70" i="2" s="1"/>
  <c r="BN35" i="2"/>
  <c r="BO35" i="2"/>
  <c r="AC45" i="2"/>
  <c r="BM16" i="2"/>
  <c r="AE62" i="2"/>
  <c r="AF62" i="2" s="1"/>
  <c r="BL62" i="2" s="1"/>
  <c r="AE17" i="2"/>
  <c r="AF17" i="2" s="1"/>
  <c r="BK33" i="2"/>
  <c r="BL33" i="2" s="1"/>
  <c r="AE69" i="2"/>
  <c r="BM69" i="2" s="1"/>
  <c r="BM20" i="2"/>
  <c r="AS45" i="2"/>
  <c r="AS80" i="2" s="1"/>
  <c r="BK16" i="2"/>
  <c r="AU16" i="2"/>
  <c r="AE32" i="2"/>
  <c r="AE43" i="2"/>
  <c r="BM77" i="2"/>
  <c r="BD31" i="2"/>
  <c r="BD39" i="2"/>
  <c r="AF69" i="2"/>
  <c r="BL69" i="2" s="1"/>
  <c r="AF57" i="1"/>
  <c r="BL57" i="1" s="1"/>
  <c r="BM57" i="1"/>
  <c r="BI16" i="1"/>
  <c r="BI45" i="1" s="1"/>
  <c r="BI80" i="1" s="1"/>
  <c r="BO21" i="2" l="1"/>
  <c r="BN21" i="2"/>
  <c r="BK17" i="2"/>
  <c r="BL17" i="2" s="1"/>
  <c r="BD40" i="2"/>
  <c r="BG40" i="2"/>
  <c r="AE40" i="2"/>
  <c r="BK42" i="2"/>
  <c r="BO47" i="2"/>
  <c r="BD43" i="2"/>
  <c r="BK43" i="2" s="1"/>
  <c r="BL43" i="2" s="1"/>
  <c r="BM41" i="2"/>
  <c r="AF46" i="3"/>
  <c r="BN41" i="3"/>
  <c r="BO59" i="3"/>
  <c r="BO58" i="3" s="1"/>
  <c r="BN59" i="3"/>
  <c r="BN58" i="3" s="1"/>
  <c r="BL58" i="3"/>
  <c r="BO57" i="3"/>
  <c r="BO47" i="3" s="1"/>
  <c r="BN57" i="3"/>
  <c r="BN47" i="3" s="1"/>
  <c r="BL47" i="3"/>
  <c r="BO78" i="3"/>
  <c r="BO76" i="3" s="1"/>
  <c r="BN78" i="3"/>
  <c r="BN76" i="3" s="1"/>
  <c r="BL76" i="3"/>
  <c r="BM45" i="3"/>
  <c r="BM80" i="3" s="1"/>
  <c r="BO27" i="3"/>
  <c r="BN27" i="3"/>
  <c r="BL45" i="3"/>
  <c r="BO16" i="3"/>
  <c r="BN16" i="3"/>
  <c r="AF80" i="3"/>
  <c r="BO62" i="2"/>
  <c r="BO22" i="2"/>
  <c r="BO67" i="2"/>
  <c r="BO33" i="2"/>
  <c r="BN33" i="2"/>
  <c r="BK39" i="2"/>
  <c r="BL39" i="2" s="1"/>
  <c r="BM39" i="2"/>
  <c r="BL16" i="2"/>
  <c r="BK23" i="2"/>
  <c r="BL23" i="2" s="1"/>
  <c r="BM23" i="2"/>
  <c r="BO25" i="2"/>
  <c r="BN25" i="2"/>
  <c r="AD58" i="2"/>
  <c r="AE59" i="2"/>
  <c r="AE58" i="2" s="1"/>
  <c r="AE46" i="2" s="1"/>
  <c r="BN76" i="2"/>
  <c r="BO76" i="2"/>
  <c r="BK31" i="2"/>
  <c r="BL31" i="2" s="1"/>
  <c r="BM31" i="2"/>
  <c r="BM62" i="2"/>
  <c r="BN62" i="2" s="1"/>
  <c r="BO66" i="2"/>
  <c r="BN66" i="2"/>
  <c r="AE18" i="2"/>
  <c r="BM67" i="2"/>
  <c r="BN67" i="2" s="1"/>
  <c r="BM17" i="2"/>
  <c r="BO70" i="2"/>
  <c r="BN70" i="2"/>
  <c r="AF41" i="2"/>
  <c r="BL41" i="2" s="1"/>
  <c r="BO38" i="2"/>
  <c r="BN38" i="2"/>
  <c r="BN36" i="2"/>
  <c r="BO36" i="2"/>
  <c r="BO72" i="2"/>
  <c r="BN72" i="2"/>
  <c r="BL29" i="2"/>
  <c r="BO74" i="2"/>
  <c r="BN74" i="2"/>
  <c r="BM29" i="2"/>
  <c r="BO34" i="2"/>
  <c r="BN34" i="2"/>
  <c r="BK30" i="2"/>
  <c r="BL30" i="2" s="1"/>
  <c r="BM30" i="2"/>
  <c r="BD27" i="2"/>
  <c r="BD45" i="2" s="1"/>
  <c r="BD80" i="2" s="1"/>
  <c r="BN19" i="2"/>
  <c r="BO19" i="2"/>
  <c r="BN56" i="2"/>
  <c r="BN47" i="2" s="1"/>
  <c r="AF32" i="2"/>
  <c r="BG32" i="2"/>
  <c r="BL42" i="2"/>
  <c r="BO60" i="2"/>
  <c r="BN60" i="2"/>
  <c r="BD32" i="2"/>
  <c r="BM32" i="2"/>
  <c r="BN28" i="2"/>
  <c r="BO28" i="2"/>
  <c r="BO69" i="2"/>
  <c r="BN69" i="2"/>
  <c r="AC80" i="2"/>
  <c r="BL20" i="2"/>
  <c r="BM22" i="2"/>
  <c r="BN22" i="2" s="1"/>
  <c r="AD45" i="2"/>
  <c r="BG27" i="2"/>
  <c r="BO77" i="2"/>
  <c r="BN77" i="2"/>
  <c r="BO57" i="1"/>
  <c r="BN57" i="1"/>
  <c r="BE16" i="1"/>
  <c r="AR22" i="1"/>
  <c r="AO22" i="1"/>
  <c r="AL22" i="1"/>
  <c r="AK22" i="1"/>
  <c r="O22" i="1"/>
  <c r="BO17" i="2" l="1"/>
  <c r="BN17" i="2"/>
  <c r="BO43" i="2"/>
  <c r="BK40" i="2"/>
  <c r="BM43" i="2"/>
  <c r="BN43" i="2" s="1"/>
  <c r="BG45" i="2"/>
  <c r="BG80" i="2" s="1"/>
  <c r="AF40" i="2"/>
  <c r="BL40" i="2" s="1"/>
  <c r="BM40" i="2"/>
  <c r="BO46" i="3"/>
  <c r="BN45" i="3"/>
  <c r="BO45" i="3"/>
  <c r="BL46" i="3"/>
  <c r="BL80" i="3" s="1"/>
  <c r="BN46" i="3"/>
  <c r="BO30" i="2"/>
  <c r="BN30" i="2"/>
  <c r="AF59" i="2"/>
  <c r="BO23" i="2"/>
  <c r="BN23" i="2"/>
  <c r="BO39" i="2"/>
  <c r="BN39" i="2"/>
  <c r="BO20" i="2"/>
  <c r="BN20" i="2"/>
  <c r="BK32" i="2"/>
  <c r="BL32" i="2" s="1"/>
  <c r="BM27" i="2"/>
  <c r="BK27" i="2"/>
  <c r="BL27" i="2" s="1"/>
  <c r="BN29" i="2"/>
  <c r="BO29" i="2"/>
  <c r="BN41" i="2"/>
  <c r="BO41" i="2"/>
  <c r="BM18" i="2"/>
  <c r="AE45" i="2"/>
  <c r="AE80" i="2" s="1"/>
  <c r="AF18" i="2"/>
  <c r="BM59" i="2"/>
  <c r="BO16" i="2"/>
  <c r="BN16" i="2"/>
  <c r="BN31" i="2"/>
  <c r="BO31" i="2"/>
  <c r="BN42" i="2"/>
  <c r="BO42" i="2"/>
  <c r="BM58" i="2"/>
  <c r="BM46" i="2" s="1"/>
  <c r="AD46" i="2"/>
  <c r="AD80" i="2" s="1"/>
  <c r="X22" i="1"/>
  <c r="V22" i="1"/>
  <c r="AQ22" i="1" s="1"/>
  <c r="AS22" i="1" s="1"/>
  <c r="W22" i="1"/>
  <c r="AO38" i="1"/>
  <c r="AO37" i="1"/>
  <c r="AO35" i="1"/>
  <c r="AO34" i="1"/>
  <c r="AO31" i="1"/>
  <c r="BK45" i="2" l="1"/>
  <c r="BK80" i="2" s="1"/>
  <c r="BM45" i="2"/>
  <c r="BM80" i="2" s="1"/>
  <c r="BO80" i="3"/>
  <c r="BO40" i="2"/>
  <c r="BN40" i="2"/>
  <c r="BN80" i="3"/>
  <c r="AF58" i="2"/>
  <c r="BL59" i="2"/>
  <c r="BO27" i="2"/>
  <c r="BN27" i="2"/>
  <c r="BO32" i="2"/>
  <c r="BN32" i="2"/>
  <c r="BL18" i="2"/>
  <c r="AF45" i="2"/>
  <c r="AB22" i="1"/>
  <c r="BO59" i="2" l="1"/>
  <c r="BN59" i="2"/>
  <c r="BL45" i="2"/>
  <c r="BO18" i="2"/>
  <c r="BN18" i="2"/>
  <c r="BL58" i="2"/>
  <c r="AF46" i="2"/>
  <c r="AF80" i="2" s="1"/>
  <c r="AC22" i="1"/>
  <c r="AD22" i="1" s="1"/>
  <c r="AE22" i="1" s="1"/>
  <c r="AT35" i="1"/>
  <c r="AT34" i="1"/>
  <c r="AS34" i="1"/>
  <c r="AU34" i="1" s="1"/>
  <c r="AS35" i="1"/>
  <c r="AU35" i="1" s="1"/>
  <c r="AQ27" i="1"/>
  <c r="AZ39" i="1"/>
  <c r="AZ33" i="1"/>
  <c r="AZ32" i="1"/>
  <c r="AZ30" i="1"/>
  <c r="AZ29" i="1"/>
  <c r="AZ27" i="1"/>
  <c r="BO58" i="2" l="1"/>
  <c r="BO46" i="2" s="1"/>
  <c r="BN58" i="2"/>
  <c r="BN46" i="2" s="1"/>
  <c r="BL46" i="2"/>
  <c r="BL80" i="2" s="1"/>
  <c r="BN45" i="2"/>
  <c r="BN80" i="2" s="1"/>
  <c r="BO45" i="2"/>
  <c r="BO80" i="2" s="1"/>
  <c r="BD22" i="1"/>
  <c r="BK22" i="1" s="1"/>
  <c r="AF22" i="1"/>
  <c r="BL22" i="1" s="1"/>
  <c r="AS37" i="1"/>
  <c r="BM22" i="1" l="1"/>
  <c r="BO22" i="1"/>
  <c r="BN22" i="1"/>
  <c r="AZ26" i="1"/>
  <c r="N80" i="1" l="1"/>
  <c r="O37" i="1" l="1"/>
  <c r="O34" i="1"/>
  <c r="O35" i="1"/>
  <c r="W34" i="1" l="1"/>
  <c r="AB34" i="1" s="1"/>
  <c r="W35" i="1"/>
  <c r="AB35" i="1" s="1"/>
  <c r="X37" i="1"/>
  <c r="AB37" i="1" s="1"/>
  <c r="AC35" i="1" l="1"/>
  <c r="AC37" i="1"/>
  <c r="AC34" i="1"/>
  <c r="AD34" i="1" s="1"/>
  <c r="BD34" i="1" s="1"/>
  <c r="BK34" i="1" s="1"/>
  <c r="AE34" i="1" l="1"/>
  <c r="AF34" i="1" s="1"/>
  <c r="AD37" i="1"/>
  <c r="BD37" i="1" s="1"/>
  <c r="BK37" i="1" s="1"/>
  <c r="AD35" i="1"/>
  <c r="AR17" i="1"/>
  <c r="AR18" i="1"/>
  <c r="AT18" i="1" s="1"/>
  <c r="AR19" i="1"/>
  <c r="AR20" i="1"/>
  <c r="AR21" i="1"/>
  <c r="AR23" i="1"/>
  <c r="AR24" i="1"/>
  <c r="AR25" i="1"/>
  <c r="AR26" i="1"/>
  <c r="AR27" i="1"/>
  <c r="AR28" i="1"/>
  <c r="AR29" i="1"/>
  <c r="AR30" i="1"/>
  <c r="AR31" i="1"/>
  <c r="AR32" i="1"/>
  <c r="AR33" i="1"/>
  <c r="AR36" i="1"/>
  <c r="AR38" i="1"/>
  <c r="AR39" i="1"/>
  <c r="AR40" i="1"/>
  <c r="AR41" i="1"/>
  <c r="AR42" i="1"/>
  <c r="AR43" i="1"/>
  <c r="AR44" i="1"/>
  <c r="AQ26" i="1"/>
  <c r="AQ28" i="1"/>
  <c r="AQ29" i="1"/>
  <c r="AO18" i="1"/>
  <c r="AL29" i="1"/>
  <c r="AK29" i="1"/>
  <c r="AQ25" i="1"/>
  <c r="AO17" i="1"/>
  <c r="AQ30" i="1"/>
  <c r="AQ31" i="1"/>
  <c r="AS31" i="1" s="1"/>
  <c r="AQ32" i="1"/>
  <c r="AQ33" i="1"/>
  <c r="AQ36" i="1"/>
  <c r="AQ38" i="1"/>
  <c r="AS38" i="1" s="1"/>
  <c r="AQ39" i="1"/>
  <c r="AQ40" i="1"/>
  <c r="AQ41" i="1"/>
  <c r="AQ42" i="1"/>
  <c r="AQ43" i="1"/>
  <c r="AQ44" i="1"/>
  <c r="AI24" i="1"/>
  <c r="AI25" i="1"/>
  <c r="AI26" i="1"/>
  <c r="AI27" i="1"/>
  <c r="AI28" i="1"/>
  <c r="AI29" i="1"/>
  <c r="AI30" i="1"/>
  <c r="AI31" i="1"/>
  <c r="AI32" i="1"/>
  <c r="AI33" i="1"/>
  <c r="AI36" i="1"/>
  <c r="AI38" i="1"/>
  <c r="AI39" i="1"/>
  <c r="AI45" i="1" s="1"/>
  <c r="AI40" i="1"/>
  <c r="AI41" i="1"/>
  <c r="AI42" i="1"/>
  <c r="AI43" i="1"/>
  <c r="AI44" i="1"/>
  <c r="AI23" i="1"/>
  <c r="AM23" i="1" s="1"/>
  <c r="AO19" i="1"/>
  <c r="AO20" i="1"/>
  <c r="AO21" i="1"/>
  <c r="AO23" i="1"/>
  <c r="AS23" i="1" s="1"/>
  <c r="AO24" i="1"/>
  <c r="AO25" i="1"/>
  <c r="AO26" i="1"/>
  <c r="AO27" i="1"/>
  <c r="AO28" i="1"/>
  <c r="AO29" i="1"/>
  <c r="AO30" i="1"/>
  <c r="AO32" i="1"/>
  <c r="AO33" i="1"/>
  <c r="AO36" i="1"/>
  <c r="AO39" i="1"/>
  <c r="AO40" i="1"/>
  <c r="AO41" i="1"/>
  <c r="AO42" i="1"/>
  <c r="AO43" i="1"/>
  <c r="AO44" i="1"/>
  <c r="AN16" i="1"/>
  <c r="AN45" i="1" s="1"/>
  <c r="AN80" i="1" s="1"/>
  <c r="AO16" i="1"/>
  <c r="AO45" i="1" s="1"/>
  <c r="AO80" i="1" s="1"/>
  <c r="AP16" i="1"/>
  <c r="AP45" i="1" s="1"/>
  <c r="AP80" i="1" s="1"/>
  <c r="AL16" i="1"/>
  <c r="AM16" i="1"/>
  <c r="AK17" i="1"/>
  <c r="AK18" i="1"/>
  <c r="AK19" i="1"/>
  <c r="AK20" i="1"/>
  <c r="AK21" i="1"/>
  <c r="AK24" i="1"/>
  <c r="AK25" i="1"/>
  <c r="AK26" i="1"/>
  <c r="AK27" i="1"/>
  <c r="AK28" i="1"/>
  <c r="AK31" i="1"/>
  <c r="AK33" i="1"/>
  <c r="AK38" i="1"/>
  <c r="AK40" i="1"/>
  <c r="AK41" i="1"/>
  <c r="AK42" i="1"/>
  <c r="AK43" i="1"/>
  <c r="AK44" i="1"/>
  <c r="AK16" i="1"/>
  <c r="O66" i="1"/>
  <c r="AA66" i="1" s="1"/>
  <c r="AB66" i="1" s="1"/>
  <c r="AC66" i="1" s="1"/>
  <c r="AK45" i="1" l="1"/>
  <c r="AK80" i="1" s="1"/>
  <c r="AE35" i="1"/>
  <c r="AF35" i="1" s="1"/>
  <c r="BD35" i="1"/>
  <c r="BK35" i="1" s="1"/>
  <c r="AS44" i="1"/>
  <c r="AS40" i="1"/>
  <c r="AS33" i="1"/>
  <c r="AS42" i="1"/>
  <c r="AE37" i="1"/>
  <c r="AF37" i="1" s="1"/>
  <c r="BL37" i="1" s="1"/>
  <c r="BM34" i="1"/>
  <c r="AS26" i="1"/>
  <c r="AS29" i="1"/>
  <c r="AS25" i="1"/>
  <c r="AS43" i="1"/>
  <c r="AS39" i="1"/>
  <c r="AS32" i="1"/>
  <c r="AU23" i="1"/>
  <c r="AT29" i="1"/>
  <c r="AS27" i="1"/>
  <c r="AS28" i="1"/>
  <c r="AS41" i="1"/>
  <c r="AS36" i="1"/>
  <c r="AS30" i="1"/>
  <c r="AR16" i="1"/>
  <c r="AR45" i="1" s="1"/>
  <c r="AR80" i="1" s="1"/>
  <c r="BM35" i="1" l="1"/>
  <c r="BL35" i="1"/>
  <c r="BO35" i="1" s="1"/>
  <c r="BO37" i="1"/>
  <c r="BM37" i="1"/>
  <c r="BN37" i="1" s="1"/>
  <c r="O64" i="1"/>
  <c r="AA64" i="1" s="1"/>
  <c r="AB64" i="1" s="1"/>
  <c r="AC64" i="1" s="1"/>
  <c r="BN35" i="1" l="1"/>
  <c r="AZ23" i="1"/>
  <c r="BL34" i="1"/>
  <c r="AZ42" i="1"/>
  <c r="AZ16" i="1"/>
  <c r="AZ45" i="1" s="1"/>
  <c r="AZ80" i="1" s="1"/>
  <c r="BO34" i="1" l="1"/>
  <c r="BN34" i="1"/>
  <c r="AL17" i="1"/>
  <c r="AL19" i="1"/>
  <c r="AL20" i="1"/>
  <c r="AL21" i="1"/>
  <c r="AL23" i="1"/>
  <c r="AT23" i="1" s="1"/>
  <c r="AL24" i="1"/>
  <c r="AT24" i="1" s="1"/>
  <c r="AL25" i="1"/>
  <c r="AT25" i="1" s="1"/>
  <c r="AL26" i="1"/>
  <c r="AT26" i="1" s="1"/>
  <c r="AL27" i="1"/>
  <c r="AT27" i="1" s="1"/>
  <c r="AL28" i="1"/>
  <c r="AT28" i="1" s="1"/>
  <c r="AL30" i="1"/>
  <c r="AT30" i="1" s="1"/>
  <c r="AL31" i="1"/>
  <c r="AT31" i="1" s="1"/>
  <c r="AL32" i="1"/>
  <c r="AT32" i="1" s="1"/>
  <c r="AL33" i="1"/>
  <c r="AL36" i="1"/>
  <c r="AT36" i="1" s="1"/>
  <c r="AL38" i="1"/>
  <c r="AL39" i="1"/>
  <c r="AT39" i="1" s="1"/>
  <c r="AL40" i="1"/>
  <c r="AL41" i="1"/>
  <c r="AL42" i="1"/>
  <c r="AL43" i="1"/>
  <c r="AL44" i="1"/>
  <c r="AM25" i="1"/>
  <c r="AU25" i="1" s="1"/>
  <c r="AM29" i="1"/>
  <c r="AU29" i="1" s="1"/>
  <c r="AM33" i="1"/>
  <c r="AM40" i="1"/>
  <c r="AM44" i="1"/>
  <c r="AM26" i="1"/>
  <c r="AU26" i="1" s="1"/>
  <c r="AM27" i="1"/>
  <c r="AU27" i="1" s="1"/>
  <c r="AM28" i="1"/>
  <c r="AM30" i="1"/>
  <c r="AU30" i="1" s="1"/>
  <c r="AM31" i="1"/>
  <c r="AU31" i="1" s="1"/>
  <c r="AM32" i="1"/>
  <c r="AU32" i="1" s="1"/>
  <c r="AM36" i="1"/>
  <c r="AU36" i="1" s="1"/>
  <c r="AM38" i="1"/>
  <c r="AM39" i="1"/>
  <c r="AM41" i="1"/>
  <c r="AU41" i="1" s="1"/>
  <c r="AM42" i="1"/>
  <c r="AU42" i="1" s="1"/>
  <c r="AM43" i="1"/>
  <c r="BH40" i="1"/>
  <c r="BH32" i="1"/>
  <c r="BH45" i="1" s="1"/>
  <c r="BH80" i="1" s="1"/>
  <c r="AL45" i="1" l="1"/>
  <c r="AL80" i="1" s="1"/>
  <c r="AU39" i="1"/>
  <c r="AM45" i="1"/>
  <c r="AT17" i="1"/>
  <c r="AT45" i="1" s="1"/>
  <c r="AT80" i="1" s="1"/>
  <c r="BE26" i="1" l="1"/>
  <c r="BB27" i="1"/>
  <c r="BB42" i="1"/>
  <c r="BB26" i="1"/>
  <c r="BB45" i="1" s="1"/>
  <c r="BB80" i="1" s="1"/>
  <c r="BE42" i="1" l="1"/>
  <c r="BE45" i="1"/>
  <c r="BE80" i="1" s="1"/>
  <c r="O78" i="1"/>
  <c r="V78" i="1" s="1"/>
  <c r="AB78" i="1" s="1"/>
  <c r="AC78" i="1" s="1"/>
  <c r="O79" i="1"/>
  <c r="V79" i="1" s="1"/>
  <c r="AB79" i="1" s="1"/>
  <c r="AC79" i="1" s="1"/>
  <c r="O65" i="1" l="1"/>
  <c r="Z66" i="1"/>
  <c r="O63" i="1"/>
  <c r="O62" i="1"/>
  <c r="O55" i="1"/>
  <c r="O54" i="1"/>
  <c r="Z62" i="1" l="1"/>
  <c r="AA62" i="1"/>
  <c r="AB62" i="1" s="1"/>
  <c r="AC62" i="1" s="1"/>
  <c r="Z63" i="1"/>
  <c r="AA63" i="1"/>
  <c r="AB63" i="1" s="1"/>
  <c r="Z65" i="1"/>
  <c r="AA65" i="1"/>
  <c r="AB65" i="1" s="1"/>
  <c r="AD66" i="1"/>
  <c r="AD62" i="1"/>
  <c r="AA55" i="1"/>
  <c r="Z55" i="1"/>
  <c r="Y55" i="1"/>
  <c r="AB55" i="1"/>
  <c r="AC55" i="1" s="1"/>
  <c r="AA54" i="1"/>
  <c r="AA47" i="1" s="1"/>
  <c r="Z54" i="1"/>
  <c r="Y54" i="1"/>
  <c r="AB54" i="1"/>
  <c r="O25" i="1"/>
  <c r="AC54" i="1" l="1"/>
  <c r="AC63" i="1"/>
  <c r="AD63" i="1" s="1"/>
  <c r="AE63" i="1" s="1"/>
  <c r="AF63" i="1" s="1"/>
  <c r="BL63" i="1" s="1"/>
  <c r="AC65" i="1"/>
  <c r="AD65" i="1" s="1"/>
  <c r="AE65" i="1" s="1"/>
  <c r="BM65" i="1" s="1"/>
  <c r="AE66" i="1"/>
  <c r="AF66" i="1" s="1"/>
  <c r="BL66" i="1" s="1"/>
  <c r="AE62" i="1"/>
  <c r="AF62" i="1" s="1"/>
  <c r="BL62" i="1" s="1"/>
  <c r="AD54" i="1"/>
  <c r="BD54" i="1" s="1"/>
  <c r="AD55" i="1"/>
  <c r="X25" i="1"/>
  <c r="V25" i="1"/>
  <c r="W25" i="1"/>
  <c r="O52" i="1"/>
  <c r="O71" i="1"/>
  <c r="O73" i="1"/>
  <c r="Z64" i="1"/>
  <c r="O60" i="1"/>
  <c r="O59" i="1"/>
  <c r="BK54" i="1" l="1"/>
  <c r="BK47" i="1" s="1"/>
  <c r="BD47" i="1"/>
  <c r="Z60" i="1"/>
  <c r="AA60" i="1"/>
  <c r="AB60" i="1" s="1"/>
  <c r="AC60" i="1" s="1"/>
  <c r="Z59" i="1"/>
  <c r="AA59" i="1"/>
  <c r="BM66" i="1"/>
  <c r="BN66" i="1" s="1"/>
  <c r="BM62" i="1"/>
  <c r="BN62" i="1" s="1"/>
  <c r="AE55" i="1"/>
  <c r="AF55" i="1" s="1"/>
  <c r="BL55" i="1" s="1"/>
  <c r="BO66" i="1"/>
  <c r="AF65" i="1"/>
  <c r="BL65" i="1" s="1"/>
  <c r="BO62" i="1"/>
  <c r="BM63" i="1"/>
  <c r="BN63" i="1" s="1"/>
  <c r="AF54" i="1"/>
  <c r="BL54" i="1" s="1"/>
  <c r="BO63" i="1"/>
  <c r="Z71" i="1"/>
  <c r="Y71" i="1"/>
  <c r="AB71" i="1" s="1"/>
  <c r="AC71" i="1" s="1"/>
  <c r="AD64" i="1"/>
  <c r="AD60" i="1"/>
  <c r="Y73" i="1"/>
  <c r="AB73" i="1" s="1"/>
  <c r="AC73" i="1" s="1"/>
  <c r="Z73" i="1"/>
  <c r="Z52" i="1"/>
  <c r="Y52" i="1"/>
  <c r="AB52" i="1" s="1"/>
  <c r="AC52" i="1" s="1"/>
  <c r="AB25" i="1"/>
  <c r="AC25" i="1" l="1"/>
  <c r="AB59" i="1"/>
  <c r="AE60" i="1"/>
  <c r="BM60" i="1" s="1"/>
  <c r="AD52" i="1"/>
  <c r="AE52" i="1" s="1"/>
  <c r="AF52" i="1" s="1"/>
  <c r="BL52" i="1" s="1"/>
  <c r="BM54" i="1"/>
  <c r="BN54" i="1" s="1"/>
  <c r="BO54" i="1"/>
  <c r="BO65" i="1"/>
  <c r="BN65" i="1"/>
  <c r="BM55" i="1"/>
  <c r="BN55" i="1" s="1"/>
  <c r="BO55" i="1"/>
  <c r="AE64" i="1"/>
  <c r="AF64" i="1" s="1"/>
  <c r="BL64" i="1" s="1"/>
  <c r="AD71" i="1"/>
  <c r="AD73" i="1"/>
  <c r="O41" i="1"/>
  <c r="AC59" i="1" l="1"/>
  <c r="AF60" i="1"/>
  <c r="BL60" i="1" s="1"/>
  <c r="BO60" i="1" s="1"/>
  <c r="BM64" i="1"/>
  <c r="BN64" i="1" s="1"/>
  <c r="AE71" i="1"/>
  <c r="AF71" i="1" s="1"/>
  <c r="BL71" i="1" s="1"/>
  <c r="BO64" i="1"/>
  <c r="AE73" i="1"/>
  <c r="BM73" i="1" s="1"/>
  <c r="BN60" i="1"/>
  <c r="AD25" i="1"/>
  <c r="BM52" i="1"/>
  <c r="BN52" i="1" s="1"/>
  <c r="BO52" i="1"/>
  <c r="AF73" i="1"/>
  <c r="BL73" i="1" s="1"/>
  <c r="X41" i="1"/>
  <c r="V41" i="1"/>
  <c r="W41" i="1"/>
  <c r="O77" i="1"/>
  <c r="O75" i="1"/>
  <c r="O74" i="1"/>
  <c r="O72" i="1"/>
  <c r="O70" i="1"/>
  <c r="O69" i="1"/>
  <c r="O68" i="1"/>
  <c r="O67" i="1"/>
  <c r="O61" i="1"/>
  <c r="O56" i="1"/>
  <c r="O53" i="1"/>
  <c r="O51" i="1"/>
  <c r="O50" i="1"/>
  <c r="O49" i="1"/>
  <c r="O48" i="1"/>
  <c r="O44" i="1"/>
  <c r="O43" i="1"/>
  <c r="O42" i="1"/>
  <c r="O40" i="1"/>
  <c r="O39" i="1"/>
  <c r="O38" i="1"/>
  <c r="O36" i="1"/>
  <c r="O33" i="1"/>
  <c r="O32" i="1"/>
  <c r="O31" i="1"/>
  <c r="O30" i="1"/>
  <c r="O29" i="1"/>
  <c r="O28" i="1"/>
  <c r="O27" i="1"/>
  <c r="O26" i="1"/>
  <c r="O24" i="1"/>
  <c r="O23" i="1"/>
  <c r="O21" i="1"/>
  <c r="O20" i="1"/>
  <c r="O19" i="1"/>
  <c r="O18" i="1"/>
  <c r="O17" i="1"/>
  <c r="O16" i="1"/>
  <c r="AF9" i="1"/>
  <c r="AF8" i="1"/>
  <c r="AF7" i="1"/>
  <c r="AF5" i="1"/>
  <c r="AF4" i="1"/>
  <c r="AB48" i="1" l="1"/>
  <c r="O47" i="1"/>
  <c r="O45" i="1"/>
  <c r="AD59" i="1"/>
  <c r="O58" i="1"/>
  <c r="V77" i="1"/>
  <c r="V76" i="1" s="1"/>
  <c r="V46" i="1" s="1"/>
  <c r="O76" i="1"/>
  <c r="AE25" i="1"/>
  <c r="BD25" i="1"/>
  <c r="BK25" i="1" s="1"/>
  <c r="W16" i="1"/>
  <c r="AC48" i="1"/>
  <c r="AC47" i="1" s="1"/>
  <c r="Z61" i="1"/>
  <c r="AA61" i="1"/>
  <c r="AA58" i="1" s="1"/>
  <c r="AA46" i="1" s="1"/>
  <c r="AA80" i="1" s="1"/>
  <c r="AF25" i="1"/>
  <c r="BL25" i="1" s="1"/>
  <c r="BO25" i="1" s="1"/>
  <c r="BO71" i="1"/>
  <c r="BO73" i="1"/>
  <c r="BN73" i="1"/>
  <c r="BM71" i="1"/>
  <c r="BN71" i="1" s="1"/>
  <c r="Z51" i="1"/>
  <c r="Y51" i="1"/>
  <c r="AB51" i="1" s="1"/>
  <c r="AC51" i="1" s="1"/>
  <c r="Y67" i="1"/>
  <c r="Z67" i="1"/>
  <c r="Z72" i="1"/>
  <c r="Y72" i="1"/>
  <c r="AB72" i="1" s="1"/>
  <c r="AC72" i="1" s="1"/>
  <c r="AB77" i="1"/>
  <c r="Z48" i="1"/>
  <c r="Y48" i="1"/>
  <c r="AB53" i="1"/>
  <c r="AC53" i="1" s="1"/>
  <c r="Y53" i="1"/>
  <c r="Z53" i="1"/>
  <c r="Z68" i="1"/>
  <c r="Y68" i="1"/>
  <c r="AB68" i="1" s="1"/>
  <c r="AC68" i="1" s="1"/>
  <c r="Y74" i="1"/>
  <c r="Z74" i="1"/>
  <c r="AB74" i="1" s="1"/>
  <c r="AC74" i="1" s="1"/>
  <c r="AB50" i="1"/>
  <c r="AC50" i="1" s="1"/>
  <c r="Y50" i="1"/>
  <c r="Z50" i="1"/>
  <c r="Y70" i="1"/>
  <c r="Z70" i="1"/>
  <c r="AB70" i="1" s="1"/>
  <c r="AC70" i="1" s="1"/>
  <c r="AB49" i="1"/>
  <c r="AC49" i="1" s="1"/>
  <c r="Y49" i="1"/>
  <c r="Z49" i="1"/>
  <c r="AB56" i="1"/>
  <c r="AC56" i="1" s="1"/>
  <c r="Y56" i="1"/>
  <c r="Z56" i="1"/>
  <c r="Y69" i="1"/>
  <c r="AB69" i="1" s="1"/>
  <c r="AC69" i="1" s="1"/>
  <c r="Z69" i="1"/>
  <c r="Y75" i="1"/>
  <c r="AB75" i="1" s="1"/>
  <c r="AC75" i="1" s="1"/>
  <c r="Z75" i="1"/>
  <c r="V19" i="1"/>
  <c r="AQ19" i="1" s="1"/>
  <c r="X19" i="1"/>
  <c r="W19" i="1"/>
  <c r="V24" i="1"/>
  <c r="AQ24" i="1" s="1"/>
  <c r="AS24" i="1" s="1"/>
  <c r="W24" i="1"/>
  <c r="X29" i="1"/>
  <c r="W29" i="1"/>
  <c r="V29" i="1"/>
  <c r="X33" i="1"/>
  <c r="V33" i="1"/>
  <c r="W33" i="1"/>
  <c r="V40" i="1"/>
  <c r="W40" i="1"/>
  <c r="X40" i="1"/>
  <c r="X16" i="1"/>
  <c r="V16" i="1"/>
  <c r="V45" i="1" s="1"/>
  <c r="V80" i="1" s="1"/>
  <c r="X20" i="1"/>
  <c r="V20" i="1"/>
  <c r="AQ20" i="1" s="1"/>
  <c r="AS20" i="1" s="1"/>
  <c r="W20" i="1"/>
  <c r="W26" i="1"/>
  <c r="X26" i="1"/>
  <c r="V26" i="1"/>
  <c r="W30" i="1"/>
  <c r="X30" i="1"/>
  <c r="V30" i="1"/>
  <c r="W36" i="1"/>
  <c r="V36" i="1"/>
  <c r="X36" i="1"/>
  <c r="W42" i="1"/>
  <c r="X42" i="1"/>
  <c r="V42" i="1"/>
  <c r="AB41" i="1"/>
  <c r="W17" i="1"/>
  <c r="X17" i="1"/>
  <c r="V17" i="1"/>
  <c r="AQ17" i="1" s="1"/>
  <c r="AS17" i="1" s="1"/>
  <c r="W21" i="1"/>
  <c r="V21" i="1"/>
  <c r="AQ21" i="1" s="1"/>
  <c r="AS21" i="1" s="1"/>
  <c r="X21" i="1"/>
  <c r="W27" i="1"/>
  <c r="X27" i="1"/>
  <c r="V27" i="1"/>
  <c r="V31" i="1"/>
  <c r="W31" i="1"/>
  <c r="X31" i="1"/>
  <c r="V18" i="1"/>
  <c r="AQ18" i="1" s="1"/>
  <c r="AS18" i="1" s="1"/>
  <c r="W18" i="1"/>
  <c r="X18" i="1"/>
  <c r="W23" i="1"/>
  <c r="V23" i="1"/>
  <c r="X23" i="1"/>
  <c r="V28" i="1"/>
  <c r="X28" i="1"/>
  <c r="W28" i="1"/>
  <c r="V32" i="1"/>
  <c r="W32" i="1"/>
  <c r="X32" i="1"/>
  <c r="X39" i="1"/>
  <c r="W39" i="1"/>
  <c r="V39" i="1"/>
  <c r="W44" i="1"/>
  <c r="X44" i="1"/>
  <c r="V44" i="1"/>
  <c r="V43" i="1"/>
  <c r="X43" i="1"/>
  <c r="W43" i="1"/>
  <c r="W38" i="1"/>
  <c r="X38" i="1"/>
  <c r="V38" i="1"/>
  <c r="AD78" i="1"/>
  <c r="AC77" i="1" l="1"/>
  <c r="AC76" i="1" s="1"/>
  <c r="AB76" i="1"/>
  <c r="Y47" i="1"/>
  <c r="Y46" i="1" s="1"/>
  <c r="Y80" i="1" s="1"/>
  <c r="O46" i="1"/>
  <c r="O80" i="1" s="1"/>
  <c r="Y58" i="1"/>
  <c r="X45" i="1"/>
  <c r="X80" i="1" s="1"/>
  <c r="W45" i="1"/>
  <c r="W80" i="1" s="1"/>
  <c r="Z47" i="1"/>
  <c r="Z58" i="1"/>
  <c r="AE59" i="1"/>
  <c r="AB47" i="1"/>
  <c r="BM25" i="1"/>
  <c r="BN25" i="1" s="1"/>
  <c r="AC41" i="1"/>
  <c r="AQ16" i="1"/>
  <c r="AB16" i="1"/>
  <c r="AU18" i="1"/>
  <c r="AU17" i="1"/>
  <c r="AB61" i="1"/>
  <c r="AB26" i="1"/>
  <c r="AS19" i="1"/>
  <c r="AB44" i="1"/>
  <c r="AB32" i="1"/>
  <c r="AB31" i="1"/>
  <c r="AB20" i="1"/>
  <c r="AB27" i="1"/>
  <c r="AB30" i="1"/>
  <c r="AB67" i="1"/>
  <c r="AC67" i="1" s="1"/>
  <c r="AB24" i="1"/>
  <c r="AB23" i="1"/>
  <c r="AB21" i="1"/>
  <c r="AB33" i="1"/>
  <c r="AB18" i="1"/>
  <c r="AB39" i="1"/>
  <c r="AB28" i="1"/>
  <c r="AB17" i="1"/>
  <c r="AB42" i="1"/>
  <c r="AB36" i="1"/>
  <c r="AB40" i="1"/>
  <c r="AB29" i="1"/>
  <c r="AB19" i="1"/>
  <c r="AB43" i="1"/>
  <c r="AB38" i="1"/>
  <c r="AE78" i="1"/>
  <c r="AF78" i="1" s="1"/>
  <c r="BL78" i="1" s="1"/>
  <c r="AD50" i="1"/>
  <c r="AB45" i="1" l="1"/>
  <c r="AS16" i="1"/>
  <c r="AS45" i="1" s="1"/>
  <c r="AS80" i="1" s="1"/>
  <c r="AQ45" i="1"/>
  <c r="AQ80" i="1" s="1"/>
  <c r="BM59" i="1"/>
  <c r="Z46" i="1"/>
  <c r="Z80" i="1" s="1"/>
  <c r="AB58" i="1"/>
  <c r="AB46" i="1" s="1"/>
  <c r="AF59" i="1"/>
  <c r="AC61" i="1"/>
  <c r="AC38" i="1"/>
  <c r="AC43" i="1"/>
  <c r="AC36" i="1"/>
  <c r="AC39" i="1"/>
  <c r="AC44" i="1"/>
  <c r="AC20" i="1"/>
  <c r="AD20" i="1" s="1"/>
  <c r="AE20" i="1" s="1"/>
  <c r="AC26" i="1"/>
  <c r="AC19" i="1"/>
  <c r="AC18" i="1"/>
  <c r="AC30" i="1"/>
  <c r="AC31" i="1"/>
  <c r="AC16" i="1"/>
  <c r="AC29" i="1"/>
  <c r="AC17" i="1"/>
  <c r="AC33" i="1"/>
  <c r="AC27" i="1"/>
  <c r="AC32" i="1"/>
  <c r="AC23" i="1"/>
  <c r="AC42" i="1"/>
  <c r="AC24" i="1"/>
  <c r="AC40" i="1"/>
  <c r="AC28" i="1"/>
  <c r="AC21" i="1"/>
  <c r="BO78" i="1"/>
  <c r="BM78" i="1"/>
  <c r="BN78" i="1" s="1"/>
  <c r="AE50" i="1"/>
  <c r="BM50" i="1" s="1"/>
  <c r="AD48" i="1"/>
  <c r="AD41" i="1"/>
  <c r="BG41" i="1" s="1"/>
  <c r="AD51" i="1"/>
  <c r="AD68" i="1"/>
  <c r="AD72" i="1"/>
  <c r="AD75" i="1"/>
  <c r="AD74" i="1"/>
  <c r="AD77" i="1"/>
  <c r="AD69" i="1"/>
  <c r="AD56" i="1"/>
  <c r="AD31" i="1"/>
  <c r="AE31" i="1" s="1"/>
  <c r="AD44" i="1"/>
  <c r="BD44" i="1" s="1"/>
  <c r="BK44" i="1" s="1"/>
  <c r="AC45" i="1" l="1"/>
  <c r="AD61" i="1"/>
  <c r="AC58" i="1"/>
  <c r="AC46" i="1" s="1"/>
  <c r="AD76" i="1"/>
  <c r="BG31" i="1"/>
  <c r="BL59" i="1"/>
  <c r="AB80" i="1"/>
  <c r="BD27" i="1"/>
  <c r="BG28" i="1"/>
  <c r="BD31" i="1"/>
  <c r="BD20" i="1"/>
  <c r="BM20" i="1" s="1"/>
  <c r="BD41" i="1"/>
  <c r="BK41" i="1" s="1"/>
  <c r="AD26" i="1"/>
  <c r="BG23" i="1"/>
  <c r="AD16" i="1"/>
  <c r="AE41" i="1"/>
  <c r="AF41" i="1" s="1"/>
  <c r="BK31" i="1"/>
  <c r="BG20" i="1"/>
  <c r="AD27" i="1"/>
  <c r="AD24" i="1"/>
  <c r="AE48" i="1"/>
  <c r="AE69" i="1"/>
  <c r="BM69" i="1" s="1"/>
  <c r="AE75" i="1"/>
  <c r="BM75" i="1" s="1"/>
  <c r="AD36" i="1"/>
  <c r="BD36" i="1" s="1"/>
  <c r="AE72" i="1"/>
  <c r="BM72" i="1" s="1"/>
  <c r="AD18" i="1"/>
  <c r="BD18" i="1" s="1"/>
  <c r="AF61" i="1"/>
  <c r="BM31" i="1"/>
  <c r="AE74" i="1"/>
  <c r="BM74" i="1" s="1"/>
  <c r="AD28" i="1"/>
  <c r="AD43" i="1"/>
  <c r="AD39" i="1"/>
  <c r="BD39" i="1" s="1"/>
  <c r="AD40" i="1"/>
  <c r="AE40" i="1" s="1"/>
  <c r="AF40" i="1" s="1"/>
  <c r="AE56" i="1"/>
  <c r="BM56" i="1" s="1"/>
  <c r="AF50" i="1"/>
  <c r="BL50" i="1" s="1"/>
  <c r="AE68" i="1"/>
  <c r="BM68" i="1" s="1"/>
  <c r="AD17" i="1"/>
  <c r="AE17" i="1" s="1"/>
  <c r="AF17" i="1" s="1"/>
  <c r="AD29" i="1"/>
  <c r="AE29" i="1" s="1"/>
  <c r="AD21" i="1"/>
  <c r="BG21" i="1" s="1"/>
  <c r="AE77" i="1"/>
  <c r="AE44" i="1"/>
  <c r="AF44" i="1" s="1"/>
  <c r="BL44" i="1" s="1"/>
  <c r="AF31" i="1"/>
  <c r="AF20" i="1"/>
  <c r="AD53" i="1"/>
  <c r="AD38" i="1"/>
  <c r="BD38" i="1" s="1"/>
  <c r="BK38" i="1" s="1"/>
  <c r="AD42" i="1"/>
  <c r="BD42" i="1" s="1"/>
  <c r="AD23" i="1"/>
  <c r="AE23" i="1" s="1"/>
  <c r="AD33" i="1"/>
  <c r="AE33" i="1" s="1"/>
  <c r="AD32" i="1"/>
  <c r="BD32" i="1" s="1"/>
  <c r="AD79" i="1"/>
  <c r="AF69" i="1"/>
  <c r="BL69" i="1" s="1"/>
  <c r="AD70" i="1"/>
  <c r="AE51" i="1"/>
  <c r="BM51" i="1" s="1"/>
  <c r="AD49" i="1"/>
  <c r="AD47" i="1" s="1"/>
  <c r="AD67" i="1"/>
  <c r="AD30" i="1"/>
  <c r="BG30" i="1" s="1"/>
  <c r="AD19" i="1"/>
  <c r="BD19" i="1" s="1"/>
  <c r="BG16" i="1" l="1"/>
  <c r="AD45" i="1"/>
  <c r="BD33" i="1"/>
  <c r="BG33" i="1"/>
  <c r="BD61" i="1"/>
  <c r="AD58" i="1"/>
  <c r="AD46" i="1" s="1"/>
  <c r="BM48" i="1"/>
  <c r="BM77" i="1"/>
  <c r="BO59" i="1"/>
  <c r="BN59" i="1"/>
  <c r="BK20" i="1"/>
  <c r="BD21" i="1"/>
  <c r="BD23" i="1"/>
  <c r="AC80" i="1"/>
  <c r="BL41" i="1"/>
  <c r="BO41" i="1" s="1"/>
  <c r="AE24" i="1"/>
  <c r="AF24" i="1" s="1"/>
  <c r="BD24" i="1"/>
  <c r="BM41" i="1"/>
  <c r="AE16" i="1"/>
  <c r="BD17" i="1"/>
  <c r="BD16" i="1"/>
  <c r="BD40" i="1"/>
  <c r="BM40" i="1" s="1"/>
  <c r="BG19" i="1"/>
  <c r="BK19" i="1" s="1"/>
  <c r="BK33" i="1"/>
  <c r="BG42" i="1"/>
  <c r="BK42" i="1" s="1"/>
  <c r="BG32" i="1"/>
  <c r="BK32" i="1" s="1"/>
  <c r="AE26" i="1"/>
  <c r="AF26" i="1" s="1"/>
  <c r="AE28" i="1"/>
  <c r="AF28" i="1" s="1"/>
  <c r="BD28" i="1"/>
  <c r="AE27" i="1"/>
  <c r="AF27" i="1" s="1"/>
  <c r="BG27" i="1"/>
  <c r="BG26" i="1"/>
  <c r="BD30" i="1"/>
  <c r="BD26" i="1"/>
  <c r="BK26" i="1" s="1"/>
  <c r="AE36" i="1"/>
  <c r="AF36" i="1" s="1"/>
  <c r="BK36" i="1"/>
  <c r="BG24" i="1"/>
  <c r="BD29" i="1"/>
  <c r="BM29" i="1" s="1"/>
  <c r="BG29" i="1"/>
  <c r="BK29" i="1" s="1"/>
  <c r="AE43" i="1"/>
  <c r="AF43" i="1" s="1"/>
  <c r="BD43" i="1"/>
  <c r="BK43" i="1" s="1"/>
  <c r="AE21" i="1"/>
  <c r="AF21" i="1" s="1"/>
  <c r="AE39" i="1"/>
  <c r="BK39" i="1"/>
  <c r="BM27" i="1"/>
  <c r="BL31" i="1"/>
  <c r="BN31" i="1" s="1"/>
  <c r="AF75" i="1"/>
  <c r="BL75" i="1" s="1"/>
  <c r="BO75" i="1" s="1"/>
  <c r="AE18" i="1"/>
  <c r="BM18" i="1" s="1"/>
  <c r="BG18" i="1"/>
  <c r="BK18" i="1" s="1"/>
  <c r="BG40" i="1"/>
  <c r="BK28" i="1"/>
  <c r="BL28" i="1" s="1"/>
  <c r="BO28" i="1" s="1"/>
  <c r="BK21" i="1"/>
  <c r="BK27" i="1"/>
  <c r="BL27" i="1" s="1"/>
  <c r="BG17" i="1"/>
  <c r="AF48" i="1"/>
  <c r="AF56" i="1"/>
  <c r="BL56" i="1" s="1"/>
  <c r="BN56" i="1" s="1"/>
  <c r="AE79" i="1"/>
  <c r="BM79" i="1" s="1"/>
  <c r="BM17" i="1"/>
  <c r="AF74" i="1"/>
  <c r="BL74" i="1" s="1"/>
  <c r="BN74" i="1" s="1"/>
  <c r="BM61" i="1"/>
  <c r="AF18" i="1"/>
  <c r="BL18" i="1" s="1"/>
  <c r="AE53" i="1"/>
  <c r="BM53" i="1" s="1"/>
  <c r="BM33" i="1"/>
  <c r="BO50" i="1"/>
  <c r="BN50" i="1"/>
  <c r="BM28" i="1"/>
  <c r="BM44" i="1"/>
  <c r="BN44" i="1" s="1"/>
  <c r="AF72" i="1"/>
  <c r="BL72" i="1" s="1"/>
  <c r="AF68" i="1"/>
  <c r="BL68" i="1" s="1"/>
  <c r="BM43" i="1"/>
  <c r="BM21" i="1"/>
  <c r="BM24" i="1"/>
  <c r="BO69" i="1"/>
  <c r="BN69" i="1"/>
  <c r="BO44" i="1"/>
  <c r="BO31" i="1"/>
  <c r="AE67" i="1"/>
  <c r="AE70" i="1"/>
  <c r="BM70" i="1" s="1"/>
  <c r="AF39" i="1"/>
  <c r="BM23" i="1"/>
  <c r="BM26" i="1"/>
  <c r="AE49" i="1"/>
  <c r="BM49" i="1" s="1"/>
  <c r="AF77" i="1"/>
  <c r="AF29" i="1"/>
  <c r="AF51" i="1"/>
  <c r="BL51" i="1" s="1"/>
  <c r="AE42" i="1"/>
  <c r="AF42" i="1" s="1"/>
  <c r="AE32" i="1"/>
  <c r="AF32" i="1" s="1"/>
  <c r="AE19" i="1"/>
  <c r="AE30" i="1"/>
  <c r="AF30" i="1" s="1"/>
  <c r="AF23" i="1"/>
  <c r="AF33" i="1"/>
  <c r="AE38" i="1"/>
  <c r="AF38" i="1" s="1"/>
  <c r="BL38" i="1" s="1"/>
  <c r="AE45" i="1" l="1"/>
  <c r="AE76" i="1"/>
  <c r="BM58" i="1"/>
  <c r="BG45" i="1"/>
  <c r="BG80" i="1" s="1"/>
  <c r="BM16" i="1"/>
  <c r="AF47" i="1"/>
  <c r="BK16" i="1"/>
  <c r="BD45" i="1"/>
  <c r="AE47" i="1"/>
  <c r="BM67" i="1"/>
  <c r="AE58" i="1"/>
  <c r="AD80" i="1"/>
  <c r="BL77" i="1"/>
  <c r="AF76" i="1"/>
  <c r="BN41" i="1"/>
  <c r="BM76" i="1"/>
  <c r="BK61" i="1"/>
  <c r="BD58" i="1"/>
  <c r="BD46" i="1" s="1"/>
  <c r="BM47" i="1"/>
  <c r="BM46" i="1" s="1"/>
  <c r="BN75" i="1"/>
  <c r="BL26" i="1"/>
  <c r="BO26" i="1" s="1"/>
  <c r="BM36" i="1"/>
  <c r="BL42" i="1"/>
  <c r="BO42" i="1" s="1"/>
  <c r="BK30" i="1"/>
  <c r="BL30" i="1" s="1"/>
  <c r="BO30" i="1" s="1"/>
  <c r="AF79" i="1"/>
  <c r="BL79" i="1" s="1"/>
  <c r="BM39" i="1"/>
  <c r="BN39" i="1" s="1"/>
  <c r="BK40" i="1"/>
  <c r="BL40" i="1" s="1"/>
  <c r="BO40" i="1" s="1"/>
  <c r="BL39" i="1"/>
  <c r="BO39" i="1" s="1"/>
  <c r="BL32" i="1"/>
  <c r="BO32" i="1" s="1"/>
  <c r="BL29" i="1"/>
  <c r="BO29" i="1" s="1"/>
  <c r="BL43" i="1"/>
  <c r="BO43" i="1" s="1"/>
  <c r="BK23" i="1"/>
  <c r="BL23" i="1" s="1"/>
  <c r="BL36" i="1"/>
  <c r="BO36" i="1" s="1"/>
  <c r="BO27" i="1"/>
  <c r="BN27" i="1"/>
  <c r="BL33" i="1"/>
  <c r="BO33" i="1" s="1"/>
  <c r="BK17" i="1"/>
  <c r="BL17" i="1" s="1"/>
  <c r="BO17" i="1" s="1"/>
  <c r="BN28" i="1"/>
  <c r="BO56" i="1"/>
  <c r="BL48" i="1"/>
  <c r="AF49" i="1"/>
  <c r="BL49" i="1" s="1"/>
  <c r="BO49" i="1" s="1"/>
  <c r="AF67" i="1"/>
  <c r="BO74" i="1"/>
  <c r="AF70" i="1"/>
  <c r="BL70" i="1" s="1"/>
  <c r="BO70" i="1" s="1"/>
  <c r="BO79" i="1"/>
  <c r="BN79" i="1"/>
  <c r="BM30" i="1"/>
  <c r="AF53" i="1"/>
  <c r="BL53" i="1" s="1"/>
  <c r="BO53" i="1" s="1"/>
  <c r="BO51" i="1"/>
  <c r="BN51" i="1"/>
  <c r="BO77" i="1"/>
  <c r="BO76" i="1" s="1"/>
  <c r="BN77" i="1"/>
  <c r="BM32" i="1"/>
  <c r="BN32" i="1" s="1"/>
  <c r="BO72" i="1"/>
  <c r="BN72" i="1"/>
  <c r="BO68" i="1"/>
  <c r="BN68" i="1"/>
  <c r="BM42" i="1"/>
  <c r="BO38" i="1"/>
  <c r="BM38" i="1"/>
  <c r="BN38" i="1" s="1"/>
  <c r="AF19" i="1"/>
  <c r="BM19" i="1"/>
  <c r="AF16" i="1"/>
  <c r="BL16" i="1" l="1"/>
  <c r="AF45" i="1"/>
  <c r="BN42" i="1"/>
  <c r="BK58" i="1"/>
  <c r="BK46" i="1" s="1"/>
  <c r="BL61" i="1"/>
  <c r="BL76" i="1"/>
  <c r="AE46" i="1"/>
  <c r="BM45" i="1"/>
  <c r="BM80" i="1"/>
  <c r="BL67" i="1"/>
  <c r="AF58" i="1"/>
  <c r="AF46" i="1" s="1"/>
  <c r="BN76" i="1"/>
  <c r="BL47" i="1"/>
  <c r="BD80" i="1"/>
  <c r="AE80" i="1"/>
  <c r="BN29" i="1"/>
  <c r="BN26" i="1"/>
  <c r="BN33" i="1"/>
  <c r="BO23" i="1"/>
  <c r="BN23" i="1"/>
  <c r="BN36" i="1"/>
  <c r="BN30" i="1"/>
  <c r="BN43" i="1"/>
  <c r="BN40" i="1"/>
  <c r="BN49" i="1"/>
  <c r="BN17" i="1"/>
  <c r="BO48" i="1"/>
  <c r="BO47" i="1" s="1"/>
  <c r="BN48" i="1"/>
  <c r="BN70" i="1"/>
  <c r="BN53" i="1"/>
  <c r="BO16" i="1"/>
  <c r="BN16" i="1"/>
  <c r="BN67" i="1" l="1"/>
  <c r="BO67" i="1"/>
  <c r="BL58" i="1"/>
  <c r="BL46" i="1" s="1"/>
  <c r="BO61" i="1"/>
  <c r="BN61" i="1"/>
  <c r="BN58" i="1" s="1"/>
  <c r="AF80" i="1"/>
  <c r="BN47" i="1"/>
  <c r="AM24" i="1"/>
  <c r="BN46" i="1" l="1"/>
  <c r="BO58" i="1"/>
  <c r="BO46" i="1" s="1"/>
  <c r="BK24" i="1"/>
  <c r="BK45" i="1" s="1"/>
  <c r="BK80" i="1" s="1"/>
  <c r="BO18" i="1"/>
  <c r="BN18" i="1"/>
  <c r="BL19" i="1"/>
  <c r="BO19" i="1" s="1"/>
  <c r="BL24" i="1" l="1"/>
  <c r="BN19" i="1"/>
  <c r="BL20" i="1"/>
  <c r="BN20" i="1" s="1"/>
  <c r="BN24" i="1" l="1"/>
  <c r="BO24" i="1"/>
  <c r="BO20" i="1"/>
  <c r="BL21" i="1"/>
  <c r="BN21" i="1" s="1"/>
  <c r="BL45" i="1" l="1"/>
  <c r="BL80" i="1" s="1"/>
  <c r="BN45" i="1"/>
  <c r="BN80" i="1" s="1"/>
  <c r="BO21" i="1"/>
  <c r="BO45" i="1" s="1"/>
  <c r="BO80" i="1" s="1"/>
  <c r="AI80" i="1" l="1"/>
  <c r="AM80" i="1"/>
  <c r="AU45" i="1"/>
  <c r="AU80" i="1" s="1"/>
  <c r="AI16" i="1"/>
  <c r="AI80" i="3"/>
  <c r="AI45" i="3"/>
  <c r="AI16" i="3"/>
  <c r="AU20" i="3"/>
  <c r="AM20" i="3"/>
  <c r="AI20" i="3"/>
  <c r="AI16" i="2"/>
  <c r="AM17" i="2"/>
  <c r="AI17" i="2"/>
  <c r="AI21" i="1"/>
  <c r="AM21" i="1"/>
  <c r="AU22" i="2"/>
  <c r="AM22" i="2"/>
  <c r="AI22" i="2"/>
  <c r="AU80" i="3"/>
  <c r="AU45" i="3"/>
  <c r="AU19" i="3"/>
  <c r="AM19" i="3"/>
  <c r="AI19" i="3"/>
  <c r="AI17" i="3"/>
  <c r="AM17" i="3"/>
  <c r="AM45" i="3"/>
  <c r="AM80" i="3"/>
  <c r="AU20" i="2"/>
  <c r="AM20" i="2"/>
  <c r="AI20" i="2"/>
  <c r="AU21" i="3"/>
  <c r="AM21" i="3"/>
  <c r="AI21" i="3"/>
  <c r="AI18" i="1"/>
  <c r="AM18" i="1"/>
  <c r="AM22" i="1"/>
  <c r="AI22" i="1"/>
  <c r="AI18" i="2"/>
  <c r="AM18" i="2"/>
  <c r="AI22" i="3"/>
  <c r="AM22" i="3"/>
  <c r="AU22" i="3"/>
  <c r="AI19" i="2"/>
  <c r="AM19" i="2"/>
  <c r="AU19" i="2"/>
  <c r="AI18" i="3"/>
  <c r="AM18" i="3"/>
  <c r="AM19" i="1"/>
  <c r="AI19" i="1"/>
  <c r="AM20" i="1"/>
  <c r="AI20" i="1"/>
  <c r="AM17" i="1"/>
  <c r="AI17" i="1"/>
  <c r="AI21" i="2"/>
  <c r="AM21" i="2"/>
  <c r="AU21" i="2"/>
</calcChain>
</file>

<file path=xl/sharedStrings.xml><?xml version="1.0" encoding="utf-8"?>
<sst xmlns="http://schemas.openxmlformats.org/spreadsheetml/2006/main" count="1666" uniqueCount="247">
  <si>
    <t>Согласовано</t>
  </si>
  <si>
    <t xml:space="preserve">УТВЕРЖДАЮ </t>
  </si>
  <si>
    <t>число классов</t>
  </si>
  <si>
    <t>Руководитель ОО района Шал акына</t>
  </si>
  <si>
    <t>Директор Кенесовской СШ</t>
  </si>
  <si>
    <t>число комплектов</t>
  </si>
  <si>
    <t>______________ Жангужинов К.А.</t>
  </si>
  <si>
    <t>___________ Мухамедин С.К.</t>
  </si>
  <si>
    <t>число учащихся</t>
  </si>
  <si>
    <t>Общее число пед.работы</t>
  </si>
  <si>
    <t>предш.</t>
  </si>
  <si>
    <t>итого</t>
  </si>
  <si>
    <t>ТАРИФИКАЦИОННЫЙ СПИСОК</t>
  </si>
  <si>
    <t>классов</t>
  </si>
  <si>
    <t>кл/ком</t>
  </si>
  <si>
    <t>Адрес школы:  село Кенес района Шал акына Северо-Казахстанской области</t>
  </si>
  <si>
    <t>уч-ся</t>
  </si>
  <si>
    <t>Ф.И.О.</t>
  </si>
  <si>
    <t>Преподаваемый предмет</t>
  </si>
  <si>
    <t>какое учебное заведение окочил, специальность</t>
  </si>
  <si>
    <t>образо-вание</t>
  </si>
  <si>
    <t>Квалификационная категория</t>
  </si>
  <si>
    <t>категория оплаты труда</t>
  </si>
  <si>
    <t>педстаж (лет, мес)</t>
  </si>
  <si>
    <t>коэффициент</t>
  </si>
  <si>
    <t>миним 17697</t>
  </si>
  <si>
    <t>ставка в месяц</t>
  </si>
  <si>
    <t xml:space="preserve">число часов в неделю </t>
  </si>
  <si>
    <t xml:space="preserve">число факультативных часов в неделю </t>
  </si>
  <si>
    <t>Зарплата</t>
  </si>
  <si>
    <t>25% за раб.в сельс.местн</t>
  </si>
  <si>
    <t>10% из РБ</t>
  </si>
  <si>
    <t>ВСЕГО</t>
  </si>
  <si>
    <t xml:space="preserve">АОО "НИШ" </t>
  </si>
  <si>
    <t>доплата за проверку тетрадей</t>
  </si>
  <si>
    <t>Проверка тетрадей, всего 1-11</t>
  </si>
  <si>
    <t>классное руководство</t>
  </si>
  <si>
    <t>зав. кабинетом</t>
  </si>
  <si>
    <t>3-х язычие</t>
  </si>
  <si>
    <t>факт отраб часы</t>
  </si>
  <si>
    <t>пед.мастер(исследователь -40%,эксперт-35%,модератор-30%)</t>
  </si>
  <si>
    <t>ИТОГО ДОПЛАТ</t>
  </si>
  <si>
    <t>ИТОГО ЗП</t>
  </si>
  <si>
    <t>РБ разница</t>
  </si>
  <si>
    <t>МБ</t>
  </si>
  <si>
    <t>1-4 кл.</t>
  </si>
  <si>
    <t>5-11 классы</t>
  </si>
  <si>
    <t>Рег. №</t>
  </si>
  <si>
    <t>Срок действия</t>
  </si>
  <si>
    <t>Предмет</t>
  </si>
  <si>
    <t>кв. категория</t>
  </si>
  <si>
    <t>за нормативные часы</t>
  </si>
  <si>
    <t>за факультативные часы</t>
  </si>
  <si>
    <t>всего</t>
  </si>
  <si>
    <t>1 Уровень</t>
  </si>
  <si>
    <t>час</t>
  </si>
  <si>
    <t>сумма</t>
  </si>
  <si>
    <t>рус, лит; каз, лит.;</t>
  </si>
  <si>
    <t xml:space="preserve">каз. яз, лит.;           рус. яз., лит   </t>
  </si>
  <si>
    <t>матем, химия, физика, биология, ин.яз, черчение</t>
  </si>
  <si>
    <t>кл</t>
  </si>
  <si>
    <t>размер</t>
  </si>
  <si>
    <t>С</t>
  </si>
  <si>
    <t>ПО</t>
  </si>
  <si>
    <t>1-4 кл</t>
  </si>
  <si>
    <t>5-9 кл</t>
  </si>
  <si>
    <t>.10-11</t>
  </si>
  <si>
    <t>100% от ДО</t>
  </si>
  <si>
    <t>пров часы</t>
  </si>
  <si>
    <t>I-IV</t>
  </si>
  <si>
    <t>V-IX</t>
  </si>
  <si>
    <t>X-XI</t>
  </si>
  <si>
    <t>А</t>
  </si>
  <si>
    <t>Б</t>
  </si>
  <si>
    <t>В</t>
  </si>
  <si>
    <t>Г</t>
  </si>
  <si>
    <t>Мухамедин Сырым Койшибаевич</t>
  </si>
  <si>
    <t>информатика</t>
  </si>
  <si>
    <t>Астана ПТУ,информатика</t>
  </si>
  <si>
    <t xml:space="preserve">выс   </t>
  </si>
  <si>
    <t>уч информатики</t>
  </si>
  <si>
    <t>В2-2</t>
  </si>
  <si>
    <t xml:space="preserve">Нурмаганбетова Акнур Макеновна </t>
  </si>
  <si>
    <t>каз.яз и литер</t>
  </si>
  <si>
    <t>СКГУ 2004 каз.яз</t>
  </si>
  <si>
    <t>уч каз яз и лит</t>
  </si>
  <si>
    <t>п.и</t>
  </si>
  <si>
    <t>В2-1</t>
  </si>
  <si>
    <t>Адырбаева Маржан Жолкеновна</t>
  </si>
  <si>
    <t>история</t>
  </si>
  <si>
    <t>СКГУ 2003 история</t>
  </si>
  <si>
    <t>уч истории</t>
  </si>
  <si>
    <t>п-и</t>
  </si>
  <si>
    <t>Человек.Обш.Пр</t>
  </si>
  <si>
    <t>Адырбаева Роза Кайржановна</t>
  </si>
  <si>
    <t>география</t>
  </si>
  <si>
    <t>СКГУ 2005 география</t>
  </si>
  <si>
    <t>24,12,2023</t>
  </si>
  <si>
    <t>уч географии</t>
  </si>
  <si>
    <t>Калиева Маржан Кайнашовна</t>
  </si>
  <si>
    <t>ППУ, 1994, НК 5к МНО</t>
  </si>
  <si>
    <t>нач кл</t>
  </si>
  <si>
    <t>Бактубаев Асет Макенович</t>
  </si>
  <si>
    <t>НВП</t>
  </si>
  <si>
    <t>СКГУ, ФК и НВП 2009</t>
  </si>
  <si>
    <t>уч НВП</t>
  </si>
  <si>
    <t>п-э</t>
  </si>
  <si>
    <t>Махметов Болат Казжанович</t>
  </si>
  <si>
    <t>биология</t>
  </si>
  <si>
    <t>СКГУ 1999 биология</t>
  </si>
  <si>
    <t>уч.биологии</t>
  </si>
  <si>
    <t xml:space="preserve">Негметова Салтанат Галымжановна </t>
  </si>
  <si>
    <t>математика</t>
  </si>
  <si>
    <t>СКГУ 1999 мат и инф</t>
  </si>
  <si>
    <t>уч математики</t>
  </si>
  <si>
    <t>Бигужин Сабит Кабиболович</t>
  </si>
  <si>
    <t>технология</t>
  </si>
  <si>
    <t>ППУ 1985 труды,черч</t>
  </si>
  <si>
    <t>с/с</t>
  </si>
  <si>
    <t>уч труда</t>
  </si>
  <si>
    <t>Байдалина Галима Габитовна</t>
  </si>
  <si>
    <t>англ.яз</t>
  </si>
  <si>
    <t>СКГУ 2008англ.яз</t>
  </si>
  <si>
    <t>уч англ яз</t>
  </si>
  <si>
    <t>Кубетаева Гульжан Сапаровна</t>
  </si>
  <si>
    <t>СКГУ 1999 МНО</t>
  </si>
  <si>
    <t xml:space="preserve">Сыздыкова Назира Боркеновна </t>
  </si>
  <si>
    <t>КПИ 1997 каз.яз</t>
  </si>
  <si>
    <t>24,12,2018</t>
  </si>
  <si>
    <t xml:space="preserve">Хамзина Айнаш Жанайдаровна </t>
  </si>
  <si>
    <t>3кл</t>
  </si>
  <si>
    <t>ЦАУ,КГЮИУ Семей</t>
  </si>
  <si>
    <t>10,04,2014</t>
  </si>
  <si>
    <t>10,04,2019</t>
  </si>
  <si>
    <t xml:space="preserve">Сыздыков Мейрам Кайрович </t>
  </si>
  <si>
    <t>физ-ра</t>
  </si>
  <si>
    <t>15,06,2016</t>
  </si>
  <si>
    <t>15,06,2021</t>
  </si>
  <si>
    <t>уч физ</t>
  </si>
  <si>
    <t xml:space="preserve">Тукенова Шынар Еншибаевна </t>
  </si>
  <si>
    <t>4 кл</t>
  </si>
  <si>
    <t>КПИ, МНО 2012</t>
  </si>
  <si>
    <t>рус.яз, лит-ра</t>
  </si>
  <si>
    <t>уч рус яз и лит</t>
  </si>
  <si>
    <t xml:space="preserve">Мухамедина Куаныш Маратовна </t>
  </si>
  <si>
    <t>самопознание</t>
  </si>
  <si>
    <t>СКГУ,2012 психология</t>
  </si>
  <si>
    <t>уч самопозн</t>
  </si>
  <si>
    <t>В2-3</t>
  </si>
  <si>
    <t xml:space="preserve">Абденкина Назгуль Бекжановна </t>
  </si>
  <si>
    <t>физика</t>
  </si>
  <si>
    <t>СКГУ, математика</t>
  </si>
  <si>
    <t>уч физики</t>
  </si>
  <si>
    <t xml:space="preserve">Махметов Болат Казжанович </t>
  </si>
  <si>
    <t>химия</t>
  </si>
  <si>
    <t>уч.химии</t>
  </si>
  <si>
    <t>б/к</t>
  </si>
  <si>
    <t>В2-4</t>
  </si>
  <si>
    <t>технология/девочки</t>
  </si>
  <si>
    <t>уч,худ.труд</t>
  </si>
  <si>
    <t>В4-4</t>
  </si>
  <si>
    <t>Сайдалина Гульназия Брмжановна</t>
  </si>
  <si>
    <t>музыка</t>
  </si>
  <si>
    <t>ППУ дошк</t>
  </si>
  <si>
    <t xml:space="preserve">И Т О Г О </t>
  </si>
  <si>
    <t>Школьный компонент</t>
  </si>
  <si>
    <t xml:space="preserve">занятия по выбору (факультатив) </t>
  </si>
  <si>
    <t>логикалық есептер</t>
  </si>
  <si>
    <t>Абайтану</t>
  </si>
  <si>
    <t xml:space="preserve"> зайырлылық және дінтану негіздері</t>
  </si>
  <si>
    <t>CLIL инф.на англ</t>
  </si>
  <si>
    <t>ұлттық өнер</t>
  </si>
  <si>
    <t>логика есеп</t>
  </si>
  <si>
    <t>Негметова Салтанат Галымжановна</t>
  </si>
  <si>
    <t>СКГУ 1999 ФИТ</t>
  </si>
  <si>
    <t>графика и проектир</t>
  </si>
  <si>
    <t>Индевид. и группавые уроки</t>
  </si>
  <si>
    <t>НВТП</t>
  </si>
  <si>
    <t>Калиева Маржан Кайнашевна</t>
  </si>
  <si>
    <t>шебер қолдар</t>
  </si>
  <si>
    <t>Cыздыков Мейрам Каирович</t>
  </si>
  <si>
    <t>ұлттық ойындар</t>
  </si>
  <si>
    <t>п/э</t>
  </si>
  <si>
    <t>Предшкола</t>
  </si>
  <si>
    <t>орыс тілі</t>
  </si>
  <si>
    <t xml:space="preserve">ВСЕГО по листу </t>
  </si>
  <si>
    <t>Главный специалист</t>
  </si>
  <si>
    <t>Зубкова Е.А.</t>
  </si>
  <si>
    <t>экономист:</t>
  </si>
  <si>
    <t>Бекимбаева К.К</t>
  </si>
  <si>
    <t xml:space="preserve">Методист по кадрам </t>
  </si>
  <si>
    <t xml:space="preserve"> </t>
  </si>
  <si>
    <t>Шайкенова С Т</t>
  </si>
  <si>
    <t>1,2,5,7,3,6,8,9,10</t>
  </si>
  <si>
    <r>
      <t xml:space="preserve">ППИ </t>
    </r>
    <r>
      <rPr>
        <sz val="10"/>
        <color indexed="36"/>
        <rFont val="Times New Roman"/>
        <family val="1"/>
        <charset val="204"/>
      </rPr>
      <t>1995</t>
    </r>
    <r>
      <rPr>
        <sz val="10"/>
        <rFont val="Times New Roman"/>
        <family val="1"/>
        <charset val="204"/>
      </rPr>
      <t xml:space="preserve"> ФК</t>
    </r>
  </si>
  <si>
    <t>2 кл</t>
  </si>
  <si>
    <t>1кл</t>
  </si>
  <si>
    <t>Беккужина Замзагуль Еслямовна</t>
  </si>
  <si>
    <t>4кл</t>
  </si>
  <si>
    <t>Кокше академия</t>
  </si>
  <si>
    <t>көркем жазу</t>
  </si>
  <si>
    <t xml:space="preserve">Беккужина Замзагуль Еслямовна </t>
  </si>
  <si>
    <t>қызықты матем</t>
  </si>
  <si>
    <t>домбыра үйрену</t>
  </si>
  <si>
    <t>матем.олимпиадаға дайындық</t>
  </si>
  <si>
    <t>физика есепт.шығару</t>
  </si>
  <si>
    <t>3</t>
  </si>
  <si>
    <t>58/</t>
  </si>
  <si>
    <t>40% от БДО</t>
  </si>
  <si>
    <t>15</t>
  </si>
  <si>
    <t>10МРП.магистра</t>
  </si>
  <si>
    <t>оплата по обп 40%</t>
  </si>
  <si>
    <t>ел тану</t>
  </si>
  <si>
    <t>предприн.и бизнес</t>
  </si>
  <si>
    <t>4,5</t>
  </si>
  <si>
    <t>50% от БДО</t>
  </si>
  <si>
    <t xml:space="preserve"> заведующая РМК</t>
  </si>
  <si>
    <t>Касенова Ж.А</t>
  </si>
  <si>
    <t>матем.сауаттылық</t>
  </si>
  <si>
    <t>СКГУ переподготовка</t>
  </si>
  <si>
    <t>Базарбекова Балапан Кайнашевна</t>
  </si>
  <si>
    <t>5кл</t>
  </si>
  <si>
    <t>6кл</t>
  </si>
  <si>
    <t xml:space="preserve">СКГУ  МНО </t>
  </si>
  <si>
    <t>11,75</t>
  </si>
  <si>
    <t>4,25</t>
  </si>
  <si>
    <t>5</t>
  </si>
  <si>
    <t>0,75</t>
  </si>
  <si>
    <t>"___"_____________2021 года</t>
  </si>
  <si>
    <t>учителей Кенесовской средней школы района Шал акына на 01 января    2021 года</t>
  </si>
  <si>
    <t>Сапарова Жазира Толемысовна Д/О</t>
  </si>
  <si>
    <t>ою орнек</t>
  </si>
  <si>
    <t>Ата касип</t>
  </si>
  <si>
    <t>17</t>
  </si>
  <si>
    <t>23</t>
  </si>
  <si>
    <t>п-м</t>
  </si>
  <si>
    <t>СКГУ, переподготовка</t>
  </si>
  <si>
    <t>25,5</t>
  </si>
  <si>
    <t>Ганиева Асыл Серикбаевна ВАК</t>
  </si>
  <si>
    <t>В4-3</t>
  </si>
  <si>
    <t>ВАКАНСИЯ</t>
  </si>
  <si>
    <t>кол онер мектеби</t>
  </si>
  <si>
    <t>Доплата учителю физ-ры</t>
  </si>
  <si>
    <t>Главный экономист                                             Тасмагамбетов К.М.</t>
  </si>
  <si>
    <t>Председатель совета профсоюза                            Жаркинбаев Д.Т</t>
  </si>
  <si>
    <t>ИТОГО ФЗП 12 мес</t>
  </si>
  <si>
    <t>учитель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</si>
</sst>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224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0" fillId="0" borderId="0" xfId="0" applyNumberFormat="1" applyFill="1" applyBorder="1"/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Border="1" applyAlignment="1">
      <alignment horizontal="right"/>
    </xf>
    <xf numFmtId="0" fontId="0" fillId="0" borderId="5" xfId="0" applyFill="1" applyBorder="1"/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textRotation="90" wrapText="1"/>
      <protection locked="0"/>
    </xf>
    <xf numFmtId="0" fontId="8" fillId="2" borderId="8" xfId="0" applyFont="1" applyFill="1" applyBorder="1" applyAlignment="1" applyProtection="1">
      <alignment horizontal="center" vertical="center" textRotation="90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right"/>
    </xf>
    <xf numFmtId="49" fontId="0" fillId="0" borderId="0" xfId="0" applyNumberFormat="1" applyFill="1"/>
    <xf numFmtId="0" fontId="11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0" fontId="12" fillId="0" borderId="0" xfId="2" applyFill="1"/>
    <xf numFmtId="0" fontId="3" fillId="0" borderId="0" xfId="2" applyFont="1" applyFill="1"/>
    <xf numFmtId="0" fontId="12" fillId="0" borderId="0" xfId="2" applyFill="1" applyBorder="1"/>
    <xf numFmtId="0" fontId="3" fillId="0" borderId="0" xfId="0" applyFont="1" applyFill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0" fillId="0" borderId="0" xfId="0" applyNumberFormat="1" applyFill="1"/>
    <xf numFmtId="3" fontId="0" fillId="0" borderId="0" xfId="0" applyNumberFormat="1" applyFill="1"/>
    <xf numFmtId="0" fontId="4" fillId="0" borderId="0" xfId="0" applyFont="1"/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2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right"/>
    </xf>
    <xf numFmtId="49" fontId="4" fillId="0" borderId="0" xfId="0" applyNumberFormat="1" applyFont="1" applyFill="1"/>
    <xf numFmtId="0" fontId="3" fillId="0" borderId="0" xfId="0" applyFont="1" applyFill="1" applyAlignment="1"/>
    <xf numFmtId="1" fontId="4" fillId="0" borderId="0" xfId="0" applyNumberFormat="1" applyFont="1" applyFill="1"/>
    <xf numFmtId="0" fontId="3" fillId="0" borderId="0" xfId="0" applyFont="1" applyFill="1" applyAlignment="1">
      <alignment horizontal="right"/>
    </xf>
    <xf numFmtId="1" fontId="18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/>
    <xf numFmtId="0" fontId="19" fillId="0" borderId="0" xfId="0" applyFont="1" applyFill="1" applyAlignment="1"/>
    <xf numFmtId="2" fontId="3" fillId="4" borderId="1" xfId="0" applyNumberFormat="1" applyFont="1" applyFill="1" applyBorder="1" applyAlignment="1">
      <alignment horizontal="right"/>
    </xf>
    <xf numFmtId="0" fontId="0" fillId="3" borderId="0" xfId="0" applyFill="1"/>
    <xf numFmtId="0" fontId="3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5" fillId="0" borderId="0" xfId="0" applyFont="1"/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/>
    <xf numFmtId="1" fontId="21" fillId="0" borderId="1" xfId="0" applyNumberFormat="1" applyFont="1" applyBorder="1"/>
    <xf numFmtId="1" fontId="22" fillId="0" borderId="1" xfId="0" applyNumberFormat="1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right"/>
    </xf>
    <xf numFmtId="1" fontId="21" fillId="0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3" fontId="23" fillId="0" borderId="4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center"/>
    </xf>
    <xf numFmtId="165" fontId="23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/>
    </xf>
    <xf numFmtId="49" fontId="23" fillId="0" borderId="1" xfId="1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>
      <alignment horizontal="right"/>
    </xf>
    <xf numFmtId="1" fontId="25" fillId="0" borderId="1" xfId="0" applyNumberFormat="1" applyFont="1" applyBorder="1"/>
    <xf numFmtId="3" fontId="25" fillId="0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1" fontId="26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right"/>
    </xf>
    <xf numFmtId="1" fontId="2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textRotation="90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textRotation="90" wrapText="1"/>
    </xf>
    <xf numFmtId="0" fontId="3" fillId="0" borderId="11" xfId="0" applyFont="1" applyFill="1" applyBorder="1" applyAlignment="1">
      <alignment horizontal="right" vertical="center" textRotation="90" wrapText="1"/>
    </xf>
    <xf numFmtId="0" fontId="3" fillId="0" borderId="4" xfId="0" applyFont="1" applyFill="1" applyBorder="1" applyAlignment="1">
      <alignment horizontal="right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textRotation="90"/>
    </xf>
    <xf numFmtId="9" fontId="6" fillId="0" borderId="11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11" xfId="0" applyNumberFormat="1" applyFont="1" applyFill="1" applyBorder="1" applyAlignment="1">
      <alignment horizontal="center" vertical="center" textRotation="90"/>
    </xf>
    <xf numFmtId="9" fontId="6" fillId="0" borderId="4" xfId="0" applyNumberFormat="1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_Ахметбекова1янв2009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94"/>
  <sheetViews>
    <sheetView tabSelected="1" view="pageBreakPreview" topLeftCell="B1" zoomScale="112" zoomScaleNormal="112" zoomScaleSheetLayoutView="112" workbookViewId="0">
      <selection activeCell="F80" sqref="F80"/>
    </sheetView>
  </sheetViews>
  <sheetFormatPr defaultColWidth="10.28515625" defaultRowHeight="15.75" customHeight="1" x14ac:dyDescent="0.25"/>
  <cols>
    <col min="2" max="2" width="27.7109375" customWidth="1"/>
    <col min="19" max="21" width="10.28515625" style="117"/>
    <col min="28" max="28" width="10.28515625" style="13"/>
    <col min="41" max="41" width="2.7109375" customWidth="1"/>
    <col min="42" max="42" width="6.7109375" customWidth="1"/>
    <col min="44" max="44" width="7.140625" customWidth="1"/>
    <col min="46" max="46" width="6.140625" customWidth="1"/>
    <col min="48" max="48" width="5.28515625" customWidth="1"/>
    <col min="49" max="50" width="6.85546875" customWidth="1"/>
    <col min="51" max="51" width="5.28515625" customWidth="1"/>
    <col min="52" max="52" width="9" customWidth="1"/>
    <col min="53" max="53" width="5.42578125" customWidth="1"/>
    <col min="54" max="54" width="7.42578125" customWidth="1"/>
    <col min="55" max="55" width="6.42578125" customWidth="1"/>
    <col min="57" max="57" width="8.140625" customWidth="1"/>
    <col min="58" max="58" width="7.7109375" customWidth="1"/>
    <col min="60" max="60" width="8.7109375" customWidth="1"/>
    <col min="61" max="61" width="8.140625" customWidth="1"/>
    <col min="62" max="62" width="7.7109375" customWidth="1"/>
  </cols>
  <sheetData>
    <row r="1" spans="2:67" ht="15.75" customHeight="1" x14ac:dyDescent="0.25">
      <c r="B1" s="67"/>
      <c r="C1" s="67"/>
      <c r="D1" s="67"/>
      <c r="E1" s="67"/>
      <c r="F1" s="67"/>
      <c r="G1" s="67"/>
      <c r="H1" s="67"/>
      <c r="I1" s="108"/>
      <c r="J1" s="67"/>
      <c r="K1" s="67"/>
      <c r="L1" s="67"/>
      <c r="M1" s="67"/>
      <c r="N1" s="67"/>
      <c r="O1" s="67"/>
      <c r="P1" s="67"/>
      <c r="Q1" s="67"/>
      <c r="R1" s="67"/>
      <c r="S1" s="113"/>
      <c r="T1" s="113"/>
      <c r="U1" s="113"/>
      <c r="V1" s="67"/>
      <c r="W1" s="67"/>
      <c r="X1" s="67"/>
      <c r="Y1" s="67"/>
      <c r="Z1" s="67"/>
      <c r="AA1" s="67"/>
      <c r="AB1" s="5"/>
    </row>
    <row r="2" spans="2:67" ht="15.75" customHeight="1" x14ac:dyDescent="0.25">
      <c r="B2" s="1" t="s">
        <v>0</v>
      </c>
      <c r="C2" s="2"/>
      <c r="D2" s="3"/>
      <c r="E2" s="4"/>
      <c r="F2" s="4"/>
      <c r="G2" s="4"/>
      <c r="H2" s="4"/>
      <c r="I2" s="4"/>
      <c r="J2" s="5"/>
      <c r="K2" s="5"/>
      <c r="L2" s="6"/>
      <c r="M2" s="7"/>
      <c r="N2" s="5"/>
      <c r="O2" s="5"/>
      <c r="P2" s="5"/>
      <c r="Q2" s="8" t="s">
        <v>1</v>
      </c>
      <c r="R2" s="9"/>
      <c r="S2" s="7"/>
      <c r="T2" s="7"/>
      <c r="U2" s="7"/>
      <c r="V2" s="9"/>
      <c r="W2" s="9" t="s">
        <v>2</v>
      </c>
      <c r="X2" s="10"/>
      <c r="Y2" s="10"/>
      <c r="Z2" s="10"/>
      <c r="AA2" s="10"/>
      <c r="AB2" s="11">
        <v>4</v>
      </c>
      <c r="AC2" s="11"/>
      <c r="AD2" s="11">
        <v>5</v>
      </c>
      <c r="AE2" s="11">
        <v>2</v>
      </c>
      <c r="AF2" s="11">
        <v>11</v>
      </c>
      <c r="AG2" s="10"/>
      <c r="AH2" s="10"/>
      <c r="AI2" s="10"/>
      <c r="AJ2" s="10"/>
      <c r="AK2" s="10"/>
      <c r="AL2" s="10"/>
      <c r="AM2" s="10"/>
      <c r="AN2" s="10"/>
      <c r="AO2" s="10"/>
      <c r="AP2" s="12"/>
      <c r="AQ2" s="12"/>
      <c r="AR2" s="12"/>
      <c r="AS2" s="12"/>
      <c r="AT2" s="12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</row>
    <row r="3" spans="2:67" ht="15.75" customHeight="1" x14ac:dyDescent="0.25">
      <c r="B3" s="14" t="s">
        <v>3</v>
      </c>
      <c r="C3" s="2"/>
      <c r="D3" s="3"/>
      <c r="E3" s="4"/>
      <c r="F3" s="4"/>
      <c r="G3" s="4"/>
      <c r="H3" s="4"/>
      <c r="I3" s="4"/>
      <c r="J3" s="5"/>
      <c r="K3" s="5"/>
      <c r="L3" s="6"/>
      <c r="M3" s="7"/>
      <c r="N3" s="5"/>
      <c r="O3" s="5"/>
      <c r="P3" s="5"/>
      <c r="Q3" s="8" t="s">
        <v>4</v>
      </c>
      <c r="R3" s="9"/>
      <c r="S3" s="7"/>
      <c r="T3" s="7"/>
      <c r="U3" s="7"/>
      <c r="V3" s="9"/>
      <c r="W3" s="9" t="s">
        <v>5</v>
      </c>
      <c r="X3" s="10"/>
      <c r="Y3" s="10"/>
      <c r="Z3" s="10"/>
      <c r="AA3" s="10"/>
      <c r="AB3" s="11">
        <v>4</v>
      </c>
      <c r="AC3" s="11"/>
      <c r="AD3" s="11">
        <v>4</v>
      </c>
      <c r="AE3" s="11">
        <v>2</v>
      </c>
      <c r="AF3" s="11">
        <v>10</v>
      </c>
      <c r="AG3" s="10"/>
      <c r="AH3" s="10"/>
      <c r="AI3" s="10"/>
      <c r="AJ3" s="10"/>
      <c r="AK3" s="10"/>
      <c r="AL3" s="10"/>
      <c r="AM3" s="10"/>
      <c r="AN3" s="10"/>
      <c r="AO3" s="10"/>
      <c r="AP3" s="12"/>
      <c r="AQ3" s="12"/>
      <c r="AR3" s="12"/>
      <c r="AS3" s="12"/>
      <c r="AT3" s="12"/>
      <c r="AU3" s="12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2:67" ht="15.75" customHeight="1" x14ac:dyDescent="0.25">
      <c r="B4" s="14" t="s">
        <v>6</v>
      </c>
      <c r="C4" s="2"/>
      <c r="D4" s="3"/>
      <c r="E4" s="4"/>
      <c r="F4" s="4"/>
      <c r="G4" s="4"/>
      <c r="H4" s="4"/>
      <c r="I4" s="4"/>
      <c r="J4" s="5"/>
      <c r="K4" s="5"/>
      <c r="L4" s="6"/>
      <c r="M4" s="7"/>
      <c r="N4" s="5"/>
      <c r="O4" s="5"/>
      <c r="P4" s="5"/>
      <c r="Q4" s="15" t="s">
        <v>7</v>
      </c>
      <c r="R4" s="9"/>
      <c r="S4" s="7"/>
      <c r="T4" s="7"/>
      <c r="U4" s="7"/>
      <c r="V4" s="9"/>
      <c r="W4" s="9" t="s">
        <v>8</v>
      </c>
      <c r="X4" s="10"/>
      <c r="Y4" s="10"/>
      <c r="Z4" s="10"/>
      <c r="AA4" s="10"/>
      <c r="AB4" s="11">
        <v>19</v>
      </c>
      <c r="AC4" s="11"/>
      <c r="AD4" s="11">
        <v>22</v>
      </c>
      <c r="AE4" s="11">
        <v>17</v>
      </c>
      <c r="AF4" s="11">
        <f>AE4+AD4+AB4</f>
        <v>58</v>
      </c>
      <c r="AG4" s="10"/>
      <c r="AH4" s="10"/>
      <c r="AI4" s="10"/>
      <c r="AJ4" s="10"/>
      <c r="AK4" s="10"/>
      <c r="AL4" s="10"/>
      <c r="AM4" s="10"/>
      <c r="AN4" s="10"/>
      <c r="AO4" s="10"/>
      <c r="AP4" s="12"/>
      <c r="AQ4" s="12"/>
      <c r="AR4" s="12"/>
      <c r="AS4" s="12"/>
      <c r="AT4" s="12"/>
      <c r="AU4" s="12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2:67" ht="15.75" customHeight="1" x14ac:dyDescent="0.25">
      <c r="B5" s="14" t="s">
        <v>228</v>
      </c>
      <c r="C5" s="16"/>
      <c r="D5" s="3"/>
      <c r="E5" s="4"/>
      <c r="F5" s="4"/>
      <c r="G5" s="4"/>
      <c r="H5" s="4"/>
      <c r="I5" s="4"/>
      <c r="J5" s="5"/>
      <c r="K5" s="5"/>
      <c r="L5" s="17"/>
      <c r="M5" s="7"/>
      <c r="N5" s="5"/>
      <c r="O5" s="5"/>
      <c r="P5" s="5"/>
      <c r="Q5" s="15" t="s">
        <v>228</v>
      </c>
      <c r="R5" s="9"/>
      <c r="S5" s="7"/>
      <c r="T5" s="7"/>
      <c r="U5" s="7"/>
      <c r="V5" s="18"/>
      <c r="W5" s="9" t="s">
        <v>9</v>
      </c>
      <c r="X5" s="10"/>
      <c r="Y5" s="10"/>
      <c r="Z5" s="10"/>
      <c r="AA5" s="10"/>
      <c r="AB5" s="19">
        <v>93</v>
      </c>
      <c r="AC5" s="19"/>
      <c r="AD5" s="11">
        <v>148</v>
      </c>
      <c r="AE5" s="20">
        <v>80</v>
      </c>
      <c r="AF5" s="21">
        <f>SUM(AB5:AE5)</f>
        <v>321</v>
      </c>
      <c r="AG5" s="22"/>
      <c r="AH5" s="22"/>
      <c r="AI5" s="22"/>
      <c r="AJ5" s="22"/>
      <c r="AK5" s="22"/>
      <c r="AL5" s="22"/>
      <c r="AM5" s="22"/>
      <c r="AN5" s="22"/>
      <c r="AO5" s="22"/>
      <c r="AP5" s="23"/>
      <c r="AQ5" s="23"/>
      <c r="AR5" s="23"/>
      <c r="AS5" s="23"/>
      <c r="AT5" s="23"/>
      <c r="AU5" s="2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</row>
    <row r="6" spans="2:67" ht="15.75" customHeight="1" x14ac:dyDescent="0.25">
      <c r="B6" s="5"/>
      <c r="C6" s="16"/>
      <c r="D6" s="3"/>
      <c r="E6" s="24"/>
      <c r="F6" s="24"/>
      <c r="G6" s="24"/>
      <c r="H6" s="24"/>
      <c r="I6" s="24"/>
      <c r="J6" s="16"/>
      <c r="K6" s="16"/>
      <c r="L6" s="16"/>
      <c r="M6" s="25"/>
      <c r="N6" s="26"/>
      <c r="O6" s="27"/>
      <c r="P6" s="27"/>
      <c r="Q6" s="28"/>
      <c r="R6" s="27"/>
      <c r="S6" s="83" t="s">
        <v>10</v>
      </c>
      <c r="T6" s="136">
        <v>1</v>
      </c>
      <c r="U6" s="136">
        <v>2</v>
      </c>
      <c r="V6" s="30">
        <v>3</v>
      </c>
      <c r="W6" s="30">
        <v>4</v>
      </c>
      <c r="X6" s="30">
        <v>5</v>
      </c>
      <c r="Y6" s="30">
        <v>6</v>
      </c>
      <c r="Z6" s="112">
        <v>7</v>
      </c>
      <c r="AA6" s="30">
        <v>8</v>
      </c>
      <c r="AB6" s="30">
        <v>9</v>
      </c>
      <c r="AC6" s="31"/>
      <c r="AD6" s="31">
        <v>10</v>
      </c>
      <c r="AE6" s="31">
        <v>11</v>
      </c>
      <c r="AF6" s="30" t="s">
        <v>11</v>
      </c>
      <c r="AG6" s="10"/>
      <c r="AH6" s="10"/>
      <c r="AI6" s="10"/>
      <c r="AJ6" s="10"/>
      <c r="AK6" s="10"/>
      <c r="AL6" s="10"/>
      <c r="AM6" s="10"/>
      <c r="AN6" s="10"/>
      <c r="AO6" s="10"/>
      <c r="AP6" s="12"/>
      <c r="AQ6" s="12"/>
      <c r="AR6" s="12"/>
      <c r="AS6" s="12"/>
      <c r="AT6" s="12"/>
      <c r="AU6" s="12"/>
      <c r="AV6" s="13"/>
      <c r="AW6" s="13"/>
      <c r="AX6" s="13"/>
      <c r="AY6" s="13"/>
      <c r="AZ6" s="13"/>
      <c r="BA6" s="12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2:67" ht="15.75" customHeight="1" x14ac:dyDescent="0.25">
      <c r="B7" s="5"/>
      <c r="C7" s="32" t="s">
        <v>12</v>
      </c>
      <c r="D7" s="3"/>
      <c r="E7" s="33"/>
      <c r="F7" s="33"/>
      <c r="G7" s="33"/>
      <c r="H7" s="33"/>
      <c r="I7" s="33"/>
      <c r="J7" s="16"/>
      <c r="K7" s="16"/>
      <c r="L7" s="16"/>
      <c r="M7" s="25"/>
      <c r="N7" s="34"/>
      <c r="O7" s="27"/>
      <c r="P7" s="27"/>
      <c r="Q7" s="28"/>
      <c r="R7" s="34" t="s">
        <v>13</v>
      </c>
      <c r="S7" s="74">
        <v>1</v>
      </c>
      <c r="T7" s="74">
        <v>1</v>
      </c>
      <c r="U7" s="1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/>
      <c r="AD7" s="11">
        <v>1</v>
      </c>
      <c r="AE7" s="11">
        <v>1</v>
      </c>
      <c r="AF7" s="11">
        <f>SUM(S7:AE7)</f>
        <v>12</v>
      </c>
      <c r="AG7" s="10"/>
      <c r="AH7" s="10"/>
      <c r="AI7" s="10"/>
      <c r="AJ7" s="10"/>
      <c r="AK7" s="10"/>
      <c r="AL7" s="10"/>
      <c r="AM7" s="10"/>
      <c r="AN7" s="10"/>
      <c r="AO7" s="10"/>
      <c r="AP7" s="12"/>
      <c r="AQ7" s="12"/>
      <c r="AR7" s="12"/>
      <c r="AS7" s="12"/>
      <c r="AT7" s="12"/>
      <c r="AU7" s="12"/>
      <c r="AV7" s="13"/>
      <c r="AW7" s="13"/>
      <c r="AX7" s="13"/>
      <c r="AY7" s="13"/>
      <c r="AZ7" s="13"/>
      <c r="BA7" s="12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</row>
    <row r="8" spans="2:67" ht="15.75" customHeight="1" x14ac:dyDescent="0.25">
      <c r="B8" s="1" t="s">
        <v>229</v>
      </c>
      <c r="C8" s="16"/>
      <c r="D8" s="3"/>
      <c r="E8" s="24"/>
      <c r="F8" s="24"/>
      <c r="G8" s="24"/>
      <c r="H8" s="24"/>
      <c r="I8" s="24"/>
      <c r="J8" s="16"/>
      <c r="K8" s="16"/>
      <c r="L8" s="16"/>
      <c r="M8" s="25"/>
      <c r="N8" s="34"/>
      <c r="O8" s="27"/>
      <c r="P8" s="27"/>
      <c r="Q8" s="28"/>
      <c r="R8" s="34" t="s">
        <v>14</v>
      </c>
      <c r="S8" s="74">
        <v>1</v>
      </c>
      <c r="T8" s="74">
        <v>1</v>
      </c>
      <c r="U8" s="111">
        <v>1</v>
      </c>
      <c r="V8" s="11">
        <v>1</v>
      </c>
      <c r="W8" s="111">
        <v>1</v>
      </c>
      <c r="X8" s="111">
        <v>0.5</v>
      </c>
      <c r="Y8" s="11">
        <v>0.5</v>
      </c>
      <c r="Z8" s="11">
        <v>1</v>
      </c>
      <c r="AA8" s="11">
        <v>1</v>
      </c>
      <c r="AB8" s="11">
        <v>1</v>
      </c>
      <c r="AC8" s="11"/>
      <c r="AD8" s="11">
        <v>1</v>
      </c>
      <c r="AE8" s="11">
        <v>1</v>
      </c>
      <c r="AF8" s="11">
        <f>SUM(S8:AE8)</f>
        <v>11</v>
      </c>
      <c r="AG8" s="10"/>
      <c r="AH8" s="10"/>
      <c r="AI8" s="10"/>
      <c r="AJ8" s="10"/>
      <c r="AK8" s="10"/>
      <c r="AL8" s="10"/>
      <c r="AM8" s="10"/>
      <c r="AN8" s="10"/>
      <c r="AO8" s="10"/>
      <c r="AP8" s="12"/>
      <c r="AQ8" s="12"/>
      <c r="AR8" s="12"/>
      <c r="AS8" s="12"/>
      <c r="AT8" s="12"/>
      <c r="AU8" s="12"/>
      <c r="AV8" s="13"/>
      <c r="AW8" s="13"/>
      <c r="AX8" s="13"/>
      <c r="AY8" s="13"/>
      <c r="AZ8" s="13"/>
      <c r="BA8" s="12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</row>
    <row r="9" spans="2:67" ht="15.75" customHeight="1" thickBot="1" x14ac:dyDescent="0.3">
      <c r="B9" s="1" t="s">
        <v>15</v>
      </c>
      <c r="C9" s="16"/>
      <c r="D9" s="17"/>
      <c r="E9" s="24"/>
      <c r="F9" s="24"/>
      <c r="G9" s="24"/>
      <c r="H9" s="24"/>
      <c r="I9" s="24"/>
      <c r="J9" s="16"/>
      <c r="K9" s="16"/>
      <c r="L9" s="16"/>
      <c r="M9" s="25"/>
      <c r="N9" s="34"/>
      <c r="O9" s="27"/>
      <c r="P9" s="27"/>
      <c r="Q9" s="28"/>
      <c r="R9" s="34" t="s">
        <v>16</v>
      </c>
      <c r="S9" s="137">
        <v>3</v>
      </c>
      <c r="T9" s="137">
        <v>6</v>
      </c>
      <c r="U9" s="137">
        <v>4</v>
      </c>
      <c r="V9" s="111">
        <v>5</v>
      </c>
      <c r="W9" s="111">
        <v>4</v>
      </c>
      <c r="X9" s="111">
        <v>5</v>
      </c>
      <c r="Y9" s="111">
        <v>2</v>
      </c>
      <c r="Z9" s="111">
        <v>7</v>
      </c>
      <c r="AA9" s="111">
        <v>3</v>
      </c>
      <c r="AB9" s="111">
        <v>5</v>
      </c>
      <c r="AC9" s="74"/>
      <c r="AD9" s="11">
        <v>9</v>
      </c>
      <c r="AE9" s="11">
        <v>8</v>
      </c>
      <c r="AF9" s="11">
        <f>SUM(S9:AE9)</f>
        <v>61</v>
      </c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12"/>
      <c r="AR9" s="12"/>
      <c r="AS9" s="12"/>
      <c r="AT9" s="12"/>
      <c r="AU9" s="12"/>
      <c r="AV9" s="13"/>
      <c r="AW9" s="13"/>
      <c r="AX9" s="13"/>
      <c r="AY9" s="13"/>
      <c r="AZ9" s="13"/>
      <c r="BA9" s="35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2:67" ht="15.75" customHeight="1" thickBot="1" x14ac:dyDescent="0.3">
      <c r="B10" s="177" t="s">
        <v>17</v>
      </c>
      <c r="C10" s="180" t="s">
        <v>18</v>
      </c>
      <c r="D10" s="183" t="s">
        <v>19</v>
      </c>
      <c r="E10" s="177" t="s">
        <v>20</v>
      </c>
      <c r="F10" s="186" t="s">
        <v>21</v>
      </c>
      <c r="G10" s="186"/>
      <c r="H10" s="186"/>
      <c r="I10" s="186"/>
      <c r="J10" s="186"/>
      <c r="K10" s="180" t="s">
        <v>22</v>
      </c>
      <c r="L10" s="180" t="s">
        <v>23</v>
      </c>
      <c r="M10" s="202" t="s">
        <v>24</v>
      </c>
      <c r="N10" s="205" t="s">
        <v>25</v>
      </c>
      <c r="O10" s="205" t="s">
        <v>26</v>
      </c>
      <c r="P10" s="197" t="s">
        <v>27</v>
      </c>
      <c r="Q10" s="197"/>
      <c r="R10" s="197"/>
      <c r="S10" s="197" t="s">
        <v>28</v>
      </c>
      <c r="T10" s="197"/>
      <c r="U10" s="197"/>
      <c r="V10" s="201" t="s">
        <v>29</v>
      </c>
      <c r="W10" s="201"/>
      <c r="X10" s="201"/>
      <c r="Y10" s="201"/>
      <c r="Z10" s="201"/>
      <c r="AA10" s="201"/>
      <c r="AB10" s="201"/>
      <c r="AC10" s="198">
        <v>0.5</v>
      </c>
      <c r="AD10" s="170" t="s">
        <v>30</v>
      </c>
      <c r="AE10" s="189" t="s">
        <v>31</v>
      </c>
      <c r="AF10" s="170" t="s">
        <v>32</v>
      </c>
      <c r="AG10" s="221" t="s">
        <v>33</v>
      </c>
      <c r="AH10" s="188" t="s">
        <v>34</v>
      </c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219" t="s">
        <v>35</v>
      </c>
      <c r="AU10" s="219"/>
      <c r="AV10" s="206" t="s">
        <v>36</v>
      </c>
      <c r="AW10" s="206"/>
      <c r="AX10" s="206"/>
      <c r="AY10" s="206"/>
      <c r="AZ10" s="206"/>
      <c r="BA10" s="220" t="s">
        <v>37</v>
      </c>
      <c r="BB10" s="220"/>
      <c r="BC10" s="210" t="s">
        <v>193</v>
      </c>
      <c r="BD10" s="210">
        <v>0.3</v>
      </c>
      <c r="BE10" s="210" t="s">
        <v>38</v>
      </c>
      <c r="BF10" s="210" t="s">
        <v>39</v>
      </c>
      <c r="BG10" s="207" t="s">
        <v>40</v>
      </c>
      <c r="BH10" s="210" t="s">
        <v>211</v>
      </c>
      <c r="BI10" s="210" t="s">
        <v>210</v>
      </c>
      <c r="BJ10" s="210" t="s">
        <v>242</v>
      </c>
      <c r="BK10" s="207" t="s">
        <v>41</v>
      </c>
      <c r="BL10" s="210" t="s">
        <v>42</v>
      </c>
      <c r="BM10" s="210" t="s">
        <v>43</v>
      </c>
      <c r="BN10" s="210" t="s">
        <v>44</v>
      </c>
      <c r="BO10" s="206" t="s">
        <v>245</v>
      </c>
    </row>
    <row r="11" spans="2:67" ht="15.75" customHeight="1" x14ac:dyDescent="0.25">
      <c r="B11" s="178"/>
      <c r="C11" s="181"/>
      <c r="D11" s="184"/>
      <c r="E11" s="178"/>
      <c r="F11" s="186"/>
      <c r="G11" s="186"/>
      <c r="H11" s="186"/>
      <c r="I11" s="186"/>
      <c r="J11" s="186"/>
      <c r="K11" s="181"/>
      <c r="L11" s="181"/>
      <c r="M11" s="203"/>
      <c r="N11" s="205"/>
      <c r="O11" s="205"/>
      <c r="P11" s="197"/>
      <c r="Q11" s="197"/>
      <c r="R11" s="197"/>
      <c r="S11" s="197"/>
      <c r="T11" s="197"/>
      <c r="U11" s="197"/>
      <c r="V11" s="201"/>
      <c r="W11" s="201"/>
      <c r="X11" s="201"/>
      <c r="Y11" s="201"/>
      <c r="Z11" s="201"/>
      <c r="AA11" s="201"/>
      <c r="AB11" s="201"/>
      <c r="AC11" s="199"/>
      <c r="AD11" s="171"/>
      <c r="AE11" s="178"/>
      <c r="AF11" s="171"/>
      <c r="AG11" s="221"/>
      <c r="AH11" s="191" t="s">
        <v>45</v>
      </c>
      <c r="AI11" s="191"/>
      <c r="AJ11" s="191"/>
      <c r="AK11" s="191"/>
      <c r="AL11" s="191"/>
      <c r="AM11" s="191"/>
      <c r="AN11" s="191" t="s">
        <v>46</v>
      </c>
      <c r="AO11" s="191"/>
      <c r="AP11" s="191"/>
      <c r="AQ11" s="191"/>
      <c r="AR11" s="191"/>
      <c r="AS11" s="191"/>
      <c r="AT11" s="219"/>
      <c r="AU11" s="219"/>
      <c r="AV11" s="206"/>
      <c r="AW11" s="206"/>
      <c r="AX11" s="206"/>
      <c r="AY11" s="206"/>
      <c r="AZ11" s="206"/>
      <c r="BA11" s="220"/>
      <c r="BB11" s="220"/>
      <c r="BC11" s="199"/>
      <c r="BD11" s="199"/>
      <c r="BE11" s="199"/>
      <c r="BF11" s="213"/>
      <c r="BG11" s="208"/>
      <c r="BH11" s="199"/>
      <c r="BI11" s="199"/>
      <c r="BJ11" s="213"/>
      <c r="BK11" s="211"/>
      <c r="BL11" s="213"/>
      <c r="BM11" s="215"/>
      <c r="BN11" s="215"/>
      <c r="BO11" s="206"/>
    </row>
    <row r="12" spans="2:67" ht="15.75" customHeight="1" thickBot="1" x14ac:dyDescent="0.3">
      <c r="B12" s="178"/>
      <c r="C12" s="181"/>
      <c r="D12" s="184"/>
      <c r="E12" s="178"/>
      <c r="F12" s="173" t="s">
        <v>47</v>
      </c>
      <c r="G12" s="222" t="s">
        <v>48</v>
      </c>
      <c r="H12" s="222"/>
      <c r="I12" s="223" t="s">
        <v>49</v>
      </c>
      <c r="J12" s="196" t="s">
        <v>50</v>
      </c>
      <c r="K12" s="181"/>
      <c r="L12" s="181"/>
      <c r="M12" s="203"/>
      <c r="N12" s="205"/>
      <c r="O12" s="205"/>
      <c r="P12" s="197"/>
      <c r="Q12" s="197"/>
      <c r="R12" s="197"/>
      <c r="S12" s="197"/>
      <c r="T12" s="197"/>
      <c r="U12" s="197"/>
      <c r="V12" s="197" t="s">
        <v>51</v>
      </c>
      <c r="W12" s="197"/>
      <c r="X12" s="197"/>
      <c r="Y12" s="197" t="s">
        <v>52</v>
      </c>
      <c r="Z12" s="197"/>
      <c r="AA12" s="197"/>
      <c r="AB12" s="197" t="s">
        <v>53</v>
      </c>
      <c r="AC12" s="199"/>
      <c r="AD12" s="171"/>
      <c r="AE12" s="178"/>
      <c r="AF12" s="171"/>
      <c r="AG12" s="221"/>
      <c r="AH12" s="190" t="s">
        <v>208</v>
      </c>
      <c r="AI12" s="190"/>
      <c r="AJ12" s="190" t="s">
        <v>215</v>
      </c>
      <c r="AK12" s="190"/>
      <c r="AL12" s="188" t="s">
        <v>53</v>
      </c>
      <c r="AM12" s="188"/>
      <c r="AN12" s="188" t="s">
        <v>215</v>
      </c>
      <c r="AO12" s="188"/>
      <c r="AP12" s="188" t="s">
        <v>208</v>
      </c>
      <c r="AQ12" s="188"/>
      <c r="AR12" s="195" t="s">
        <v>53</v>
      </c>
      <c r="AS12" s="195"/>
      <c r="AT12" s="219"/>
      <c r="AU12" s="219"/>
      <c r="AV12" s="206"/>
      <c r="AW12" s="206"/>
      <c r="AX12" s="206"/>
      <c r="AY12" s="206"/>
      <c r="AZ12" s="206"/>
      <c r="BA12" s="220"/>
      <c r="BB12" s="220"/>
      <c r="BC12" s="199"/>
      <c r="BD12" s="199"/>
      <c r="BE12" s="199"/>
      <c r="BF12" s="213"/>
      <c r="BG12" s="208"/>
      <c r="BH12" s="199"/>
      <c r="BI12" s="199"/>
      <c r="BJ12" s="213"/>
      <c r="BK12" s="211"/>
      <c r="BL12" s="213"/>
      <c r="BM12" s="215"/>
      <c r="BN12" s="215"/>
      <c r="BO12" s="206"/>
    </row>
    <row r="13" spans="2:67" ht="15.75" customHeight="1" thickBot="1" x14ac:dyDescent="0.3">
      <c r="B13" s="178"/>
      <c r="C13" s="181"/>
      <c r="D13" s="184"/>
      <c r="E13" s="178"/>
      <c r="F13" s="173"/>
      <c r="G13" s="222"/>
      <c r="H13" s="222"/>
      <c r="I13" s="223"/>
      <c r="J13" s="196"/>
      <c r="K13" s="181"/>
      <c r="L13" s="181"/>
      <c r="M13" s="203"/>
      <c r="N13" s="205"/>
      <c r="O13" s="205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9"/>
      <c r="AD13" s="171"/>
      <c r="AE13" s="178"/>
      <c r="AF13" s="171"/>
      <c r="AG13" s="36" t="s">
        <v>54</v>
      </c>
      <c r="AH13" s="187" t="s">
        <v>55</v>
      </c>
      <c r="AI13" s="188" t="s">
        <v>56</v>
      </c>
      <c r="AJ13" s="188" t="s">
        <v>57</v>
      </c>
      <c r="AK13" s="188"/>
      <c r="AL13" s="188"/>
      <c r="AM13" s="188"/>
      <c r="AN13" s="188" t="s">
        <v>58</v>
      </c>
      <c r="AO13" s="188"/>
      <c r="AP13" s="194" t="s">
        <v>59</v>
      </c>
      <c r="AQ13" s="194"/>
      <c r="AR13" s="195"/>
      <c r="AS13" s="195"/>
      <c r="AT13" s="219"/>
      <c r="AU13" s="219"/>
      <c r="AV13" s="176" t="s">
        <v>60</v>
      </c>
      <c r="AW13" s="174" t="s">
        <v>61</v>
      </c>
      <c r="AX13" s="175"/>
      <c r="AY13" s="176"/>
      <c r="AZ13" s="192" t="s">
        <v>56</v>
      </c>
      <c r="BA13" s="220"/>
      <c r="BB13" s="220"/>
      <c r="BC13" s="199"/>
      <c r="BD13" s="199"/>
      <c r="BE13" s="199"/>
      <c r="BF13" s="213"/>
      <c r="BG13" s="208"/>
      <c r="BH13" s="199"/>
      <c r="BI13" s="199"/>
      <c r="BJ13" s="213"/>
      <c r="BK13" s="211"/>
      <c r="BL13" s="213"/>
      <c r="BM13" s="215"/>
      <c r="BN13" s="215"/>
      <c r="BO13" s="206"/>
    </row>
    <row r="14" spans="2:67" ht="15.75" customHeight="1" thickBot="1" x14ac:dyDescent="0.3">
      <c r="B14" s="179"/>
      <c r="C14" s="182"/>
      <c r="D14" s="185"/>
      <c r="E14" s="179"/>
      <c r="F14" s="173"/>
      <c r="G14" s="68" t="s">
        <v>62</v>
      </c>
      <c r="H14" s="68" t="s">
        <v>63</v>
      </c>
      <c r="I14" s="223"/>
      <c r="J14" s="196"/>
      <c r="K14" s="182"/>
      <c r="L14" s="182"/>
      <c r="M14" s="204"/>
      <c r="N14" s="205"/>
      <c r="O14" s="205"/>
      <c r="P14" s="69" t="s">
        <v>64</v>
      </c>
      <c r="Q14" s="69" t="s">
        <v>65</v>
      </c>
      <c r="R14" s="70" t="s">
        <v>66</v>
      </c>
      <c r="S14" s="135" t="s">
        <v>64</v>
      </c>
      <c r="T14" s="135" t="s">
        <v>65</v>
      </c>
      <c r="U14" s="70" t="s">
        <v>66</v>
      </c>
      <c r="V14" s="69" t="s">
        <v>45</v>
      </c>
      <c r="W14" s="69" t="s">
        <v>65</v>
      </c>
      <c r="X14" s="70" t="s">
        <v>66</v>
      </c>
      <c r="Y14" s="69" t="s">
        <v>45</v>
      </c>
      <c r="Z14" s="69" t="s">
        <v>65</v>
      </c>
      <c r="AA14" s="70" t="s">
        <v>66</v>
      </c>
      <c r="AB14" s="197"/>
      <c r="AC14" s="200"/>
      <c r="AD14" s="172"/>
      <c r="AE14" s="179"/>
      <c r="AF14" s="172"/>
      <c r="AG14" s="37" t="s">
        <v>67</v>
      </c>
      <c r="AH14" s="187"/>
      <c r="AI14" s="188"/>
      <c r="AJ14" s="38" t="s">
        <v>68</v>
      </c>
      <c r="AK14" s="38" t="s">
        <v>56</v>
      </c>
      <c r="AL14" s="39" t="s">
        <v>68</v>
      </c>
      <c r="AM14" s="39" t="s">
        <v>56</v>
      </c>
      <c r="AN14" s="39" t="s">
        <v>68</v>
      </c>
      <c r="AO14" s="39" t="s">
        <v>56</v>
      </c>
      <c r="AP14" s="39" t="s">
        <v>68</v>
      </c>
      <c r="AQ14" s="39" t="s">
        <v>56</v>
      </c>
      <c r="AR14" s="40" t="s">
        <v>68</v>
      </c>
      <c r="AS14" s="40" t="s">
        <v>56</v>
      </c>
      <c r="AT14" s="41" t="s">
        <v>68</v>
      </c>
      <c r="AU14" s="41" t="s">
        <v>56</v>
      </c>
      <c r="AV14" s="193"/>
      <c r="AW14" s="42" t="s">
        <v>69</v>
      </c>
      <c r="AX14" s="42" t="s">
        <v>70</v>
      </c>
      <c r="AY14" s="42" t="s">
        <v>71</v>
      </c>
      <c r="AZ14" s="193"/>
      <c r="BA14" s="43">
        <v>0.2</v>
      </c>
      <c r="BB14" s="43" t="s">
        <v>56</v>
      </c>
      <c r="BC14" s="200"/>
      <c r="BD14" s="200"/>
      <c r="BE14" s="200"/>
      <c r="BF14" s="214"/>
      <c r="BG14" s="209"/>
      <c r="BH14" s="200"/>
      <c r="BI14" s="200"/>
      <c r="BJ14" s="214"/>
      <c r="BK14" s="212"/>
      <c r="BL14" s="214"/>
      <c r="BM14" s="216"/>
      <c r="BN14" s="216"/>
      <c r="BO14" s="206"/>
    </row>
    <row r="15" spans="2:67" ht="15.75" customHeight="1" x14ac:dyDescent="0.25">
      <c r="B15" s="71" t="s">
        <v>72</v>
      </c>
      <c r="C15" s="71" t="s">
        <v>73</v>
      </c>
      <c r="D15" s="71" t="s">
        <v>74</v>
      </c>
      <c r="E15" s="71" t="s">
        <v>75</v>
      </c>
      <c r="F15" s="71">
        <v>1</v>
      </c>
      <c r="G15" s="71">
        <v>2</v>
      </c>
      <c r="H15" s="71">
        <v>3</v>
      </c>
      <c r="I15" s="71">
        <v>4</v>
      </c>
      <c r="J15" s="71">
        <v>5</v>
      </c>
      <c r="K15" s="71">
        <v>6</v>
      </c>
      <c r="L15" s="71">
        <v>7</v>
      </c>
      <c r="M15" s="71">
        <v>8</v>
      </c>
      <c r="N15" s="71">
        <v>9</v>
      </c>
      <c r="O15" s="71">
        <v>10</v>
      </c>
      <c r="P15" s="71">
        <v>11</v>
      </c>
      <c r="Q15" s="71">
        <v>12</v>
      </c>
      <c r="R15" s="71">
        <v>13</v>
      </c>
      <c r="S15" s="71">
        <v>14</v>
      </c>
      <c r="T15" s="71">
        <v>15</v>
      </c>
      <c r="U15" s="71">
        <v>16</v>
      </c>
      <c r="V15" s="71">
        <v>17</v>
      </c>
      <c r="W15" s="71">
        <v>18</v>
      </c>
      <c r="X15" s="71">
        <v>19</v>
      </c>
      <c r="Y15" s="71">
        <v>20</v>
      </c>
      <c r="Z15" s="71">
        <v>21</v>
      </c>
      <c r="AA15" s="71">
        <v>22</v>
      </c>
      <c r="AB15" s="71">
        <v>23</v>
      </c>
      <c r="AC15" s="44">
        <v>24</v>
      </c>
      <c r="AD15" s="44">
        <v>25</v>
      </c>
      <c r="AE15" s="44">
        <v>26</v>
      </c>
      <c r="AF15" s="44">
        <v>27</v>
      </c>
      <c r="AG15" s="44">
        <v>28</v>
      </c>
      <c r="AH15" s="44">
        <v>29</v>
      </c>
      <c r="AI15" s="44">
        <v>30</v>
      </c>
      <c r="AJ15" s="44">
        <v>31</v>
      </c>
      <c r="AK15" s="44">
        <v>32</v>
      </c>
      <c r="AL15" s="44">
        <v>33</v>
      </c>
      <c r="AM15" s="44">
        <v>34</v>
      </c>
      <c r="AN15" s="44">
        <v>35</v>
      </c>
      <c r="AO15" s="44">
        <v>36</v>
      </c>
      <c r="AP15" s="44">
        <v>37</v>
      </c>
      <c r="AQ15" s="44">
        <v>38</v>
      </c>
      <c r="AR15" s="44">
        <v>39</v>
      </c>
      <c r="AS15" s="44">
        <v>40</v>
      </c>
      <c r="AT15" s="44">
        <v>41</v>
      </c>
      <c r="AU15" s="44">
        <v>42</v>
      </c>
      <c r="AV15" s="44">
        <v>43</v>
      </c>
      <c r="AW15" s="44">
        <v>44</v>
      </c>
      <c r="AX15" s="44">
        <v>45</v>
      </c>
      <c r="AY15" s="44">
        <v>46</v>
      </c>
      <c r="AZ15" s="44">
        <v>47</v>
      </c>
      <c r="BA15" s="44">
        <v>48</v>
      </c>
      <c r="BB15" s="44">
        <v>49</v>
      </c>
      <c r="BC15" s="44">
        <v>50</v>
      </c>
      <c r="BD15" s="44">
        <v>51</v>
      </c>
      <c r="BE15" s="44">
        <v>52</v>
      </c>
      <c r="BF15" s="44">
        <v>53</v>
      </c>
      <c r="BG15" s="44">
        <v>54</v>
      </c>
      <c r="BH15" s="44">
        <v>55</v>
      </c>
      <c r="BI15" s="44">
        <v>57</v>
      </c>
      <c r="BJ15" s="141"/>
      <c r="BK15" s="44" t="s">
        <v>207</v>
      </c>
      <c r="BL15" s="44">
        <v>59</v>
      </c>
      <c r="BM15" s="44">
        <v>60</v>
      </c>
      <c r="BN15" s="44">
        <v>61</v>
      </c>
      <c r="BO15" s="44">
        <v>62</v>
      </c>
    </row>
    <row r="16" spans="2:67" ht="15.75" customHeight="1" x14ac:dyDescent="0.25">
      <c r="B16" s="72" t="s">
        <v>246</v>
      </c>
      <c r="C16" s="73"/>
      <c r="D16" s="72" t="s">
        <v>78</v>
      </c>
      <c r="E16" s="72" t="s">
        <v>79</v>
      </c>
      <c r="F16" s="74">
        <v>26</v>
      </c>
      <c r="G16" s="75">
        <v>42529</v>
      </c>
      <c r="H16" s="75">
        <v>44355</v>
      </c>
      <c r="I16" s="72" t="s">
        <v>80</v>
      </c>
      <c r="J16" s="72" t="s">
        <v>106</v>
      </c>
      <c r="K16" s="74" t="s">
        <v>81</v>
      </c>
      <c r="L16" s="76">
        <v>9.09</v>
      </c>
      <c r="M16" s="76">
        <v>4.79</v>
      </c>
      <c r="N16" s="77">
        <v>17697</v>
      </c>
      <c r="O16" s="78">
        <f t="shared" ref="O16:O44" si="0">SUM(N16*M16)</f>
        <v>84768.63</v>
      </c>
      <c r="P16" s="74"/>
      <c r="Q16" s="74">
        <v>4</v>
      </c>
      <c r="R16" s="74">
        <v>4</v>
      </c>
      <c r="S16" s="114"/>
      <c r="T16" s="114"/>
      <c r="U16" s="114"/>
      <c r="V16" s="78">
        <f>O16/18*P16</f>
        <v>0</v>
      </c>
      <c r="W16" s="78">
        <f>O16/18*Q16</f>
        <v>18837.473333333335</v>
      </c>
      <c r="X16" s="78">
        <f>O16/18*R16</f>
        <v>18837.473333333335</v>
      </c>
      <c r="Y16" s="79"/>
      <c r="Z16" s="79"/>
      <c r="AA16" s="79"/>
      <c r="AB16" s="78">
        <f>V16+W16+X16+Y16+Z16+AA16</f>
        <v>37674.94666666667</v>
      </c>
      <c r="AC16" s="78">
        <f>AB16*50%</f>
        <v>18837.473333333335</v>
      </c>
      <c r="AD16" s="78">
        <f>(AB16+AC16)*25%</f>
        <v>14128.105000000001</v>
      </c>
      <c r="AE16" s="78">
        <f>(AB16+AC16+AD16)*10%</f>
        <v>7064.0525000000016</v>
      </c>
      <c r="AF16" s="78">
        <f>AB16+AC16+AD16+AE16</f>
        <v>77704.577500000014</v>
      </c>
      <c r="AG16" s="120"/>
      <c r="AH16" s="125"/>
      <c r="AI16" s="125">
        <f t="shared" ref="AI16:AI22" ca="1" si="1">O16/18*AI:AT*40%</f>
        <v>0</v>
      </c>
      <c r="AJ16" s="125"/>
      <c r="AK16" s="125">
        <f t="shared" ref="AK16:AK31" si="2">P16/18*2*40%</f>
        <v>0</v>
      </c>
      <c r="AL16" s="125">
        <f t="shared" ref="AL16" si="3">Q16/18*2*40%</f>
        <v>0.17777777777777778</v>
      </c>
      <c r="AM16" s="125">
        <f t="shared" ref="AM16" si="4">R16/18*2*40%</f>
        <v>0.17777777777777778</v>
      </c>
      <c r="AN16" s="125">
        <f t="shared" ref="AN16" si="5">S16/18*2*40%</f>
        <v>0</v>
      </c>
      <c r="AO16" s="125">
        <f t="shared" ref="AO16" si="6">T16/18*2*40%</f>
        <v>0</v>
      </c>
      <c r="AP16" s="125">
        <f t="shared" ref="AP16" si="7">U16/18*2*40%</f>
        <v>0</v>
      </c>
      <c r="AQ16" s="125">
        <f t="shared" ref="AQ16:AQ24" si="8">V16/18*2*40%</f>
        <v>0</v>
      </c>
      <c r="AR16" s="125">
        <f>AN16+AP16</f>
        <v>0</v>
      </c>
      <c r="AS16" s="125">
        <f>AO16+AQ16</f>
        <v>0</v>
      </c>
      <c r="AT16" s="125"/>
      <c r="AU16" s="125"/>
      <c r="AV16" s="126"/>
      <c r="AW16" s="126"/>
      <c r="AX16" s="127"/>
      <c r="AY16" s="126"/>
      <c r="AZ16" s="128">
        <f>(AW16*AV16*50%+Q16*AX16*50%)+(Q16*AY16*60%)</f>
        <v>0</v>
      </c>
      <c r="BA16" s="129"/>
      <c r="BB16" s="129"/>
      <c r="BC16" s="126">
        <v>10</v>
      </c>
      <c r="BD16" s="125">
        <f>(AB16+AC16+AD16+AB60+AC60+AD60)*30%</f>
        <v>26490.196874999998</v>
      </c>
      <c r="BE16" s="125">
        <f>N16*10%*10</f>
        <v>17697</v>
      </c>
      <c r="BF16" s="125">
        <v>10</v>
      </c>
      <c r="BG16" s="125">
        <f>(AB16+AC16+AD16+AB60+AC60+AD60)*35%</f>
        <v>30905.229687499999</v>
      </c>
      <c r="BH16" s="126"/>
      <c r="BI16" s="126">
        <f>2917*10</f>
        <v>29170</v>
      </c>
      <c r="BJ16" s="126"/>
      <c r="BK16" s="120">
        <f t="shared" ref="BK16:BK22" si="9">AG16+AS16+AZ16+BB16+BD16+BE16+BG16+BH16+BI16</f>
        <v>104262.4265625</v>
      </c>
      <c r="BL16" s="120">
        <f t="shared" ref="BL16:BL44" si="10">AF16+BK16</f>
        <v>181967.00406250003</v>
      </c>
      <c r="BM16" s="120">
        <f t="shared" ref="BM16:BM44" si="11">AC16+AD16+AE16+BD16+BE16</f>
        <v>84216.827708333338</v>
      </c>
      <c r="BN16" s="120">
        <f>BL16-BM16</f>
        <v>97750.176354166688</v>
      </c>
      <c r="BO16" s="120">
        <f>BL16*12</f>
        <v>2183604.0487500001</v>
      </c>
    </row>
    <row r="17" spans="2:67" ht="15.75" customHeight="1" x14ac:dyDescent="0.25">
      <c r="B17" s="72" t="s">
        <v>246</v>
      </c>
      <c r="C17" s="74"/>
      <c r="D17" s="72" t="s">
        <v>84</v>
      </c>
      <c r="E17" s="72" t="s">
        <v>79</v>
      </c>
      <c r="F17" s="74">
        <v>46</v>
      </c>
      <c r="G17" s="75">
        <v>43458</v>
      </c>
      <c r="H17" s="75">
        <v>45284</v>
      </c>
      <c r="I17" s="72" t="s">
        <v>85</v>
      </c>
      <c r="J17" s="72" t="s">
        <v>92</v>
      </c>
      <c r="K17" s="74" t="s">
        <v>87</v>
      </c>
      <c r="L17" s="76">
        <v>33.049999999999997</v>
      </c>
      <c r="M17" s="82">
        <v>5.41</v>
      </c>
      <c r="N17" s="77">
        <v>17697</v>
      </c>
      <c r="O17" s="78">
        <f t="shared" si="0"/>
        <v>95740.77</v>
      </c>
      <c r="P17" s="74"/>
      <c r="Q17" s="79">
        <v>5</v>
      </c>
      <c r="R17" s="74">
        <v>4</v>
      </c>
      <c r="S17" s="114"/>
      <c r="T17" s="115"/>
      <c r="U17" s="114"/>
      <c r="V17" s="78">
        <f t="shared" ref="V17:V44" si="12">O17/18*P17</f>
        <v>0</v>
      </c>
      <c r="W17" s="78">
        <f t="shared" ref="W17:W44" si="13">O17/18*Q17</f>
        <v>26594.658333333336</v>
      </c>
      <c r="X17" s="78">
        <f t="shared" ref="X17:X44" si="14">O17/18*R17</f>
        <v>21275.726666666669</v>
      </c>
      <c r="Y17" s="79"/>
      <c r="Z17" s="79"/>
      <c r="AA17" s="79"/>
      <c r="AB17" s="78">
        <f t="shared" ref="AB17:AB44" si="15">V17+W17+X17+Y17+Z17+AA17</f>
        <v>47870.385000000009</v>
      </c>
      <c r="AC17" s="78">
        <f t="shared" ref="AC17:AC44" si="16">AB17*50%</f>
        <v>23935.192500000005</v>
      </c>
      <c r="AD17" s="78">
        <f t="shared" ref="AD17:AD78" si="17">(AB17+AC17)*25%</f>
        <v>17951.394375000003</v>
      </c>
      <c r="AE17" s="78">
        <f t="shared" ref="AE17:AE44" si="18">(AB17+AC17+AD17)*10%</f>
        <v>8975.6971875000017</v>
      </c>
      <c r="AF17" s="78">
        <f t="shared" ref="AF17:AF44" si="19">AB17+AC17+AD17+AE17</f>
        <v>98732.669062500019</v>
      </c>
      <c r="AG17" s="120"/>
      <c r="AH17" s="125"/>
      <c r="AI17" s="125">
        <f t="shared" ca="1" si="1"/>
        <v>0</v>
      </c>
      <c r="AJ17" s="125"/>
      <c r="AK17" s="125">
        <f t="shared" si="2"/>
        <v>0</v>
      </c>
      <c r="AL17" s="125">
        <f t="shared" ref="AL17:AL44" si="20">AH17</f>
        <v>0</v>
      </c>
      <c r="AM17" s="125">
        <f t="shared" ref="AM17:AM44" ca="1" si="21">AI17+AK17</f>
        <v>0</v>
      </c>
      <c r="AN17" s="130">
        <v>4.5</v>
      </c>
      <c r="AO17" s="125">
        <f>N17/18*AN17*50%</f>
        <v>2212.125</v>
      </c>
      <c r="AP17" s="125"/>
      <c r="AQ17" s="125">
        <f t="shared" si="8"/>
        <v>0</v>
      </c>
      <c r="AR17" s="131">
        <f t="shared" ref="AR17:AR44" si="22">AN17+AP17</f>
        <v>4.5</v>
      </c>
      <c r="AS17" s="125">
        <f t="shared" ref="AS17:AS44" si="23">AO17+AQ17</f>
        <v>2212.125</v>
      </c>
      <c r="AT17" s="131">
        <f t="shared" ref="AT17:AT39" si="24">AL17+AR17</f>
        <v>4.5</v>
      </c>
      <c r="AU17" s="125">
        <f>AS17</f>
        <v>2212.125</v>
      </c>
      <c r="AV17" s="126"/>
      <c r="AW17" s="126"/>
      <c r="AX17" s="126"/>
      <c r="AY17" s="126"/>
      <c r="AZ17" s="125"/>
      <c r="BA17" s="129"/>
      <c r="BB17" s="129"/>
      <c r="BC17" s="126">
        <v>9</v>
      </c>
      <c r="BD17" s="125">
        <f t="shared" ref="BD17:BD25" si="25">(AB17+AC17+AD17)*30%</f>
        <v>26927.091562500005</v>
      </c>
      <c r="BE17" s="125"/>
      <c r="BF17" s="125">
        <v>9</v>
      </c>
      <c r="BG17" s="125">
        <f>(AB17+AC17+AD17)*40%</f>
        <v>35902.788750000007</v>
      </c>
      <c r="BH17" s="125"/>
      <c r="BI17" s="125"/>
      <c r="BJ17" s="125"/>
      <c r="BK17" s="120">
        <f t="shared" si="9"/>
        <v>65042.005312500012</v>
      </c>
      <c r="BL17" s="120">
        <f t="shared" si="10"/>
        <v>163774.67437500003</v>
      </c>
      <c r="BM17" s="120">
        <f t="shared" si="11"/>
        <v>77789.375625000015</v>
      </c>
      <c r="BN17" s="120">
        <f t="shared" ref="BN17:BN44" si="26">BL17-BM17</f>
        <v>85985.298750000016</v>
      </c>
      <c r="BO17" s="120">
        <f t="shared" ref="BO17:BO44" si="27">BL17*12</f>
        <v>1965296.0925000003</v>
      </c>
    </row>
    <row r="18" spans="2:67" ht="15.75" customHeight="1" x14ac:dyDescent="0.25">
      <c r="B18" s="72" t="s">
        <v>246</v>
      </c>
      <c r="C18" s="74"/>
      <c r="D18" s="72" t="s">
        <v>84</v>
      </c>
      <c r="E18" s="72" t="s">
        <v>79</v>
      </c>
      <c r="F18" s="74">
        <v>46</v>
      </c>
      <c r="G18" s="75">
        <v>43458</v>
      </c>
      <c r="H18" s="75">
        <v>45284</v>
      </c>
      <c r="I18" s="72" t="s">
        <v>85</v>
      </c>
      <c r="J18" s="72" t="s">
        <v>86</v>
      </c>
      <c r="K18" s="74" t="s">
        <v>87</v>
      </c>
      <c r="L18" s="76">
        <v>33.049999999999997</v>
      </c>
      <c r="M18" s="82">
        <v>5.41</v>
      </c>
      <c r="N18" s="77">
        <v>17697</v>
      </c>
      <c r="O18" s="78">
        <f t="shared" si="0"/>
        <v>95740.77</v>
      </c>
      <c r="P18" s="74"/>
      <c r="Q18" s="79"/>
      <c r="R18" s="74">
        <v>2</v>
      </c>
      <c r="S18" s="114"/>
      <c r="T18" s="115"/>
      <c r="U18" s="114"/>
      <c r="V18" s="78">
        <f t="shared" si="12"/>
        <v>0</v>
      </c>
      <c r="W18" s="78">
        <f t="shared" si="13"/>
        <v>0</v>
      </c>
      <c r="X18" s="78">
        <f t="shared" si="14"/>
        <v>10637.863333333335</v>
      </c>
      <c r="Y18" s="79"/>
      <c r="Z18" s="107"/>
      <c r="AA18" s="79"/>
      <c r="AB18" s="78">
        <f t="shared" si="15"/>
        <v>10637.863333333335</v>
      </c>
      <c r="AC18" s="78">
        <f t="shared" si="16"/>
        <v>5318.9316666666673</v>
      </c>
      <c r="AD18" s="78">
        <f t="shared" si="17"/>
        <v>3989.1987500000005</v>
      </c>
      <c r="AE18" s="78">
        <f t="shared" si="18"/>
        <v>1994.5993750000002</v>
      </c>
      <c r="AF18" s="78">
        <f t="shared" si="19"/>
        <v>21940.593125000003</v>
      </c>
      <c r="AG18" s="120"/>
      <c r="AH18" s="125"/>
      <c r="AI18" s="125">
        <f t="shared" ca="1" si="1"/>
        <v>0</v>
      </c>
      <c r="AJ18" s="125"/>
      <c r="AK18" s="125">
        <f t="shared" si="2"/>
        <v>0</v>
      </c>
      <c r="AL18" s="125"/>
      <c r="AM18" s="125">
        <f t="shared" ca="1" si="21"/>
        <v>0</v>
      </c>
      <c r="AN18" s="130">
        <v>1</v>
      </c>
      <c r="AO18" s="125">
        <f>N18/18*AN18*50%</f>
        <v>491.58333333333331</v>
      </c>
      <c r="AP18" s="125"/>
      <c r="AQ18" s="125">
        <f t="shared" si="8"/>
        <v>0</v>
      </c>
      <c r="AR18" s="125">
        <f t="shared" si="22"/>
        <v>1</v>
      </c>
      <c r="AS18" s="125">
        <f t="shared" si="23"/>
        <v>491.58333333333331</v>
      </c>
      <c r="AT18" s="125">
        <f t="shared" si="24"/>
        <v>1</v>
      </c>
      <c r="AU18" s="125">
        <f>AS18</f>
        <v>491.58333333333331</v>
      </c>
      <c r="AV18" s="126"/>
      <c r="AW18" s="126"/>
      <c r="AX18" s="126"/>
      <c r="AY18" s="126"/>
      <c r="AZ18" s="125"/>
      <c r="BA18" s="129"/>
      <c r="BB18" s="129"/>
      <c r="BC18" s="126">
        <v>2</v>
      </c>
      <c r="BD18" s="125">
        <f t="shared" si="25"/>
        <v>5983.7981250000003</v>
      </c>
      <c r="BE18" s="125"/>
      <c r="BF18" s="125">
        <v>2</v>
      </c>
      <c r="BG18" s="125">
        <f>(AB18+AC18+AD18)*40%</f>
        <v>7978.3975000000009</v>
      </c>
      <c r="BH18" s="125"/>
      <c r="BI18" s="125"/>
      <c r="BJ18" s="125"/>
      <c r="BK18" s="120">
        <f t="shared" si="9"/>
        <v>14453.778958333334</v>
      </c>
      <c r="BL18" s="120">
        <f t="shared" si="10"/>
        <v>36394.372083333335</v>
      </c>
      <c r="BM18" s="120">
        <f t="shared" si="11"/>
        <v>17286.527916666666</v>
      </c>
      <c r="BN18" s="120">
        <f t="shared" si="26"/>
        <v>19107.844166666669</v>
      </c>
      <c r="BO18" s="120">
        <f t="shared" si="27"/>
        <v>436732.46500000003</v>
      </c>
    </row>
    <row r="19" spans="2:67" ht="15.75" customHeight="1" x14ac:dyDescent="0.25">
      <c r="B19" s="72" t="s">
        <v>246</v>
      </c>
      <c r="C19" s="74"/>
      <c r="D19" s="72" t="s">
        <v>90</v>
      </c>
      <c r="E19" s="72" t="s">
        <v>79</v>
      </c>
      <c r="F19" s="74">
        <v>47</v>
      </c>
      <c r="G19" s="75">
        <v>43335</v>
      </c>
      <c r="H19" s="75">
        <v>45161</v>
      </c>
      <c r="I19" s="72" t="s">
        <v>91</v>
      </c>
      <c r="J19" s="72" t="s">
        <v>92</v>
      </c>
      <c r="K19" s="74" t="s">
        <v>87</v>
      </c>
      <c r="L19" s="76">
        <v>20.079999999999998</v>
      </c>
      <c r="M19" s="82">
        <v>5.32</v>
      </c>
      <c r="N19" s="77">
        <v>17697</v>
      </c>
      <c r="O19" s="78">
        <f t="shared" si="0"/>
        <v>94148.040000000008</v>
      </c>
      <c r="P19" s="74"/>
      <c r="Q19" s="74">
        <v>12</v>
      </c>
      <c r="R19" s="74">
        <v>4</v>
      </c>
      <c r="S19" s="114"/>
      <c r="T19" s="115"/>
      <c r="U19" s="114"/>
      <c r="V19" s="78">
        <f t="shared" si="12"/>
        <v>0</v>
      </c>
      <c r="W19" s="78">
        <f t="shared" si="13"/>
        <v>62765.36</v>
      </c>
      <c r="X19" s="78">
        <f t="shared" si="14"/>
        <v>20921.786666666667</v>
      </c>
      <c r="Y19" s="79"/>
      <c r="Z19" s="79"/>
      <c r="AA19" s="79"/>
      <c r="AB19" s="78">
        <f t="shared" si="15"/>
        <v>83687.146666666667</v>
      </c>
      <c r="AC19" s="78">
        <f t="shared" si="16"/>
        <v>41843.573333333334</v>
      </c>
      <c r="AD19" s="78">
        <f t="shared" si="17"/>
        <v>31382.68</v>
      </c>
      <c r="AE19" s="78">
        <f t="shared" si="18"/>
        <v>15691.34</v>
      </c>
      <c r="AF19" s="78">
        <f t="shared" si="19"/>
        <v>172604.74</v>
      </c>
      <c r="AG19" s="120"/>
      <c r="AH19" s="125"/>
      <c r="AI19" s="125">
        <f t="shared" ca="1" si="1"/>
        <v>0</v>
      </c>
      <c r="AJ19" s="125"/>
      <c r="AK19" s="125">
        <f t="shared" si="2"/>
        <v>0</v>
      </c>
      <c r="AL19" s="125">
        <f t="shared" si="20"/>
        <v>0</v>
      </c>
      <c r="AM19" s="125">
        <f t="shared" ca="1" si="21"/>
        <v>0</v>
      </c>
      <c r="AN19" s="125"/>
      <c r="AO19" s="125">
        <f t="shared" ref="AO19:AO44" si="28">N19/18*AN19*40%</f>
        <v>0</v>
      </c>
      <c r="AP19" s="125"/>
      <c r="AQ19" s="125">
        <f t="shared" si="8"/>
        <v>0</v>
      </c>
      <c r="AR19" s="125">
        <f t="shared" si="22"/>
        <v>0</v>
      </c>
      <c r="AS19" s="125">
        <f t="shared" si="23"/>
        <v>0</v>
      </c>
      <c r="AT19" s="125"/>
      <c r="AU19" s="125"/>
      <c r="AV19" s="126"/>
      <c r="AW19" s="126"/>
      <c r="AX19" s="126"/>
      <c r="AY19" s="126"/>
      <c r="AZ19" s="125"/>
      <c r="BA19" s="129"/>
      <c r="BB19" s="129"/>
      <c r="BC19" s="126">
        <v>17</v>
      </c>
      <c r="BD19" s="125">
        <f>(AB19+AC19+AD19+AB49+AC49+AD49)*30%</f>
        <v>50016.146249999998</v>
      </c>
      <c r="BE19" s="125"/>
      <c r="BF19" s="131" t="s">
        <v>233</v>
      </c>
      <c r="BG19" s="125">
        <f>(AB19+AC19+AD19+AB49+AC49+AD49)*40%</f>
        <v>66688.194999999992</v>
      </c>
      <c r="BH19" s="125"/>
      <c r="BI19" s="125"/>
      <c r="BJ19" s="125"/>
      <c r="BK19" s="120">
        <f t="shared" si="9"/>
        <v>116704.34125</v>
      </c>
      <c r="BL19" s="120">
        <f t="shared" si="10"/>
        <v>289309.08124999999</v>
      </c>
      <c r="BM19" s="120">
        <f t="shared" si="11"/>
        <v>138933.73958333331</v>
      </c>
      <c r="BN19" s="120">
        <f t="shared" si="26"/>
        <v>150375.34166666667</v>
      </c>
      <c r="BO19" s="120">
        <f t="shared" si="27"/>
        <v>3471708.9749999996</v>
      </c>
    </row>
    <row r="20" spans="2:67" ht="15.75" customHeight="1" x14ac:dyDescent="0.25">
      <c r="B20" s="72" t="s">
        <v>246</v>
      </c>
      <c r="C20" s="74"/>
      <c r="D20" s="72" t="s">
        <v>90</v>
      </c>
      <c r="E20" s="72" t="s">
        <v>79</v>
      </c>
      <c r="F20" s="74">
        <v>47</v>
      </c>
      <c r="G20" s="75">
        <v>43335</v>
      </c>
      <c r="H20" s="75">
        <v>45161</v>
      </c>
      <c r="I20" s="72" t="s">
        <v>91</v>
      </c>
      <c r="J20" s="72" t="s">
        <v>92</v>
      </c>
      <c r="K20" s="74" t="s">
        <v>87</v>
      </c>
      <c r="L20" s="76">
        <v>20.079999999999998</v>
      </c>
      <c r="M20" s="82">
        <v>5.32</v>
      </c>
      <c r="N20" s="77">
        <v>17697</v>
      </c>
      <c r="O20" s="78">
        <f t="shared" si="0"/>
        <v>94148.040000000008</v>
      </c>
      <c r="P20" s="74"/>
      <c r="Q20" s="74">
        <v>1</v>
      </c>
      <c r="R20" s="74"/>
      <c r="S20" s="114"/>
      <c r="T20" s="114"/>
      <c r="U20" s="114"/>
      <c r="V20" s="78">
        <f t="shared" si="12"/>
        <v>0</v>
      </c>
      <c r="W20" s="78">
        <f t="shared" si="13"/>
        <v>5230.4466666666667</v>
      </c>
      <c r="X20" s="78">
        <f t="shared" si="14"/>
        <v>0</v>
      </c>
      <c r="Y20" s="79"/>
      <c r="Z20" s="79"/>
      <c r="AA20" s="79"/>
      <c r="AB20" s="78">
        <f t="shared" si="15"/>
        <v>5230.4466666666667</v>
      </c>
      <c r="AC20" s="78">
        <f t="shared" si="16"/>
        <v>2615.2233333333334</v>
      </c>
      <c r="AD20" s="78">
        <f t="shared" si="17"/>
        <v>1961.4175</v>
      </c>
      <c r="AE20" s="78">
        <f t="shared" si="18"/>
        <v>980.70875000000001</v>
      </c>
      <c r="AF20" s="78">
        <f t="shared" si="19"/>
        <v>10787.796249999999</v>
      </c>
      <c r="AG20" s="120"/>
      <c r="AH20" s="125"/>
      <c r="AI20" s="125">
        <f t="shared" ca="1" si="1"/>
        <v>0</v>
      </c>
      <c r="AJ20" s="125"/>
      <c r="AK20" s="125">
        <f t="shared" si="2"/>
        <v>0</v>
      </c>
      <c r="AL20" s="125">
        <f t="shared" si="20"/>
        <v>0</v>
      </c>
      <c r="AM20" s="125">
        <f t="shared" ca="1" si="21"/>
        <v>0</v>
      </c>
      <c r="AN20" s="125"/>
      <c r="AO20" s="125">
        <f t="shared" si="28"/>
        <v>0</v>
      </c>
      <c r="AP20" s="125"/>
      <c r="AQ20" s="125">
        <f t="shared" si="8"/>
        <v>0</v>
      </c>
      <c r="AR20" s="125">
        <f t="shared" si="22"/>
        <v>0</v>
      </c>
      <c r="AS20" s="125">
        <f t="shared" si="23"/>
        <v>0</v>
      </c>
      <c r="AT20" s="125"/>
      <c r="AU20" s="125"/>
      <c r="AV20" s="126"/>
      <c r="AW20" s="126"/>
      <c r="AX20" s="126"/>
      <c r="AY20" s="126"/>
      <c r="AZ20" s="125"/>
      <c r="BA20" s="129"/>
      <c r="BB20" s="129"/>
      <c r="BC20" s="126">
        <v>1</v>
      </c>
      <c r="BD20" s="125">
        <f t="shared" si="25"/>
        <v>2942.1262499999998</v>
      </c>
      <c r="BE20" s="125"/>
      <c r="BF20" s="125">
        <v>1</v>
      </c>
      <c r="BG20" s="125">
        <f>(AB20+AC20+AD20)*40%</f>
        <v>3922.835</v>
      </c>
      <c r="BH20" s="125"/>
      <c r="BI20" s="125"/>
      <c r="BJ20" s="125"/>
      <c r="BK20" s="120">
        <f t="shared" si="9"/>
        <v>6864.9612500000003</v>
      </c>
      <c r="BL20" s="120">
        <f t="shared" si="10"/>
        <v>17652.7575</v>
      </c>
      <c r="BM20" s="120">
        <f t="shared" si="11"/>
        <v>8499.475833333332</v>
      </c>
      <c r="BN20" s="120">
        <f t="shared" si="26"/>
        <v>9153.2816666666677</v>
      </c>
      <c r="BO20" s="120">
        <f t="shared" si="27"/>
        <v>211833.09</v>
      </c>
    </row>
    <row r="21" spans="2:67" ht="15.75" customHeight="1" x14ac:dyDescent="0.25">
      <c r="B21" s="72" t="s">
        <v>246</v>
      </c>
      <c r="C21" s="74"/>
      <c r="D21" s="72" t="s">
        <v>96</v>
      </c>
      <c r="E21" s="72" t="s">
        <v>79</v>
      </c>
      <c r="F21" s="74">
        <v>56</v>
      </c>
      <c r="G21" s="75">
        <v>43458</v>
      </c>
      <c r="H21" s="72" t="s">
        <v>97</v>
      </c>
      <c r="I21" s="72" t="s">
        <v>98</v>
      </c>
      <c r="J21" s="72" t="s">
        <v>86</v>
      </c>
      <c r="K21" s="74" t="s">
        <v>87</v>
      </c>
      <c r="L21" s="76">
        <v>22.09</v>
      </c>
      <c r="M21" s="76">
        <v>5.32</v>
      </c>
      <c r="N21" s="77">
        <v>17697</v>
      </c>
      <c r="O21" s="78">
        <f t="shared" si="0"/>
        <v>94148.040000000008</v>
      </c>
      <c r="P21" s="74"/>
      <c r="Q21" s="74">
        <v>8</v>
      </c>
      <c r="R21" s="74">
        <v>4</v>
      </c>
      <c r="S21" s="114"/>
      <c r="T21" s="114"/>
      <c r="U21" s="114"/>
      <c r="V21" s="78">
        <f t="shared" si="12"/>
        <v>0</v>
      </c>
      <c r="W21" s="78">
        <f t="shared" si="13"/>
        <v>41843.573333333334</v>
      </c>
      <c r="X21" s="78">
        <f t="shared" si="14"/>
        <v>20921.786666666667</v>
      </c>
      <c r="Y21" s="79"/>
      <c r="Z21" s="79"/>
      <c r="AA21" s="79"/>
      <c r="AB21" s="78">
        <f t="shared" si="15"/>
        <v>62765.36</v>
      </c>
      <c r="AC21" s="78">
        <f t="shared" si="16"/>
        <v>31382.68</v>
      </c>
      <c r="AD21" s="78">
        <f t="shared" si="17"/>
        <v>23537.010000000002</v>
      </c>
      <c r="AE21" s="78">
        <f t="shared" si="18"/>
        <v>11768.505000000003</v>
      </c>
      <c r="AF21" s="78">
        <f t="shared" si="19"/>
        <v>129453.55500000002</v>
      </c>
      <c r="AG21" s="120"/>
      <c r="AH21" s="125"/>
      <c r="AI21" s="125">
        <f t="shared" ca="1" si="1"/>
        <v>0</v>
      </c>
      <c r="AJ21" s="125"/>
      <c r="AK21" s="125">
        <f t="shared" si="2"/>
        <v>0</v>
      </c>
      <c r="AL21" s="125">
        <f t="shared" si="20"/>
        <v>0</v>
      </c>
      <c r="AM21" s="125">
        <f t="shared" ca="1" si="21"/>
        <v>0</v>
      </c>
      <c r="AN21" s="125"/>
      <c r="AO21" s="125">
        <f t="shared" si="28"/>
        <v>0</v>
      </c>
      <c r="AP21" s="125"/>
      <c r="AQ21" s="125">
        <f t="shared" si="8"/>
        <v>0</v>
      </c>
      <c r="AR21" s="125">
        <f t="shared" si="22"/>
        <v>0</v>
      </c>
      <c r="AS21" s="125">
        <f t="shared" si="23"/>
        <v>0</v>
      </c>
      <c r="AT21" s="125"/>
      <c r="AU21" s="125"/>
      <c r="AV21" s="126"/>
      <c r="AW21" s="126"/>
      <c r="AX21" s="130"/>
      <c r="AY21" s="126"/>
      <c r="AZ21" s="125"/>
      <c r="BA21" s="129"/>
      <c r="BB21" s="129"/>
      <c r="BC21" s="126">
        <v>14</v>
      </c>
      <c r="BD21" s="125">
        <f>(AB21+AC21+AD21+AB64+AC64+AD64)*30%</f>
        <v>41189.767500000002</v>
      </c>
      <c r="BE21" s="125"/>
      <c r="BF21" s="125">
        <v>14</v>
      </c>
      <c r="BG21" s="125">
        <f>(AB21+AC21+AD21+AB64+AC64+AD64)*40%</f>
        <v>54919.69</v>
      </c>
      <c r="BH21" s="125"/>
      <c r="BI21" s="125"/>
      <c r="BJ21" s="125"/>
      <c r="BK21" s="120">
        <f t="shared" si="9"/>
        <v>96109.457500000004</v>
      </c>
      <c r="BL21" s="120">
        <f t="shared" si="10"/>
        <v>225563.01250000001</v>
      </c>
      <c r="BM21" s="120">
        <f t="shared" si="11"/>
        <v>107877.96250000001</v>
      </c>
      <c r="BN21" s="120">
        <f t="shared" si="26"/>
        <v>117685.05</v>
      </c>
      <c r="BO21" s="120">
        <f t="shared" si="27"/>
        <v>2706756.1500000004</v>
      </c>
    </row>
    <row r="22" spans="2:67" ht="15.75" customHeight="1" x14ac:dyDescent="0.25">
      <c r="B22" s="72" t="s">
        <v>246</v>
      </c>
      <c r="C22" s="74"/>
      <c r="D22" s="72" t="s">
        <v>96</v>
      </c>
      <c r="E22" s="72" t="s">
        <v>79</v>
      </c>
      <c r="F22" s="74"/>
      <c r="G22" s="75"/>
      <c r="H22" s="72"/>
      <c r="I22" s="72"/>
      <c r="J22" s="72" t="s">
        <v>156</v>
      </c>
      <c r="K22" s="74" t="s">
        <v>157</v>
      </c>
      <c r="L22" s="76">
        <v>22.09</v>
      </c>
      <c r="M22" s="76">
        <v>4.67</v>
      </c>
      <c r="N22" s="77">
        <v>17697</v>
      </c>
      <c r="O22" s="78">
        <f t="shared" ref="O22" si="29">SUM(N22*M22)</f>
        <v>82644.990000000005</v>
      </c>
      <c r="P22" s="74"/>
      <c r="Q22" s="74">
        <v>9</v>
      </c>
      <c r="R22" s="74">
        <v>4</v>
      </c>
      <c r="S22" s="114"/>
      <c r="T22" s="114"/>
      <c r="U22" s="114"/>
      <c r="V22" s="78">
        <f t="shared" ref="V22" si="30">O22/18*P22</f>
        <v>0</v>
      </c>
      <c r="W22" s="78">
        <f t="shared" ref="W22" si="31">O22/18*Q22</f>
        <v>41322.495000000003</v>
      </c>
      <c r="X22" s="78">
        <f t="shared" ref="X22" si="32">O22/18*R22</f>
        <v>18365.553333333333</v>
      </c>
      <c r="Y22" s="79"/>
      <c r="Z22" s="79"/>
      <c r="AA22" s="79"/>
      <c r="AB22" s="78">
        <f t="shared" ref="AB22" si="33">V22+W22+X22+Y22+Z22+AA22</f>
        <v>59688.04833333334</v>
      </c>
      <c r="AC22" s="78">
        <f t="shared" si="16"/>
        <v>29844.02416666667</v>
      </c>
      <c r="AD22" s="78">
        <f t="shared" ref="AD22" si="34">(AB22+AC22)*25%</f>
        <v>22383.018125000002</v>
      </c>
      <c r="AE22" s="78">
        <f t="shared" ref="AE22" si="35">(AB22+AC22+AD22)*10%</f>
        <v>11191.509062500001</v>
      </c>
      <c r="AF22" s="78">
        <f t="shared" ref="AF22" si="36">AB22+AC22+AD22+AE22</f>
        <v>123106.59968750001</v>
      </c>
      <c r="AG22" s="120"/>
      <c r="AH22" s="125"/>
      <c r="AI22" s="125">
        <f t="shared" ca="1" si="1"/>
        <v>0</v>
      </c>
      <c r="AJ22" s="125"/>
      <c r="AK22" s="125">
        <f t="shared" ref="AK22" si="37">P22/18*2*40%</f>
        <v>0</v>
      </c>
      <c r="AL22" s="125">
        <f t="shared" ref="AL22" si="38">AH22</f>
        <v>0</v>
      </c>
      <c r="AM22" s="125">
        <f t="shared" ref="AM22" ca="1" si="39">AI22+AK22</f>
        <v>0</v>
      </c>
      <c r="AN22" s="125"/>
      <c r="AO22" s="125">
        <f t="shared" ref="AO22" si="40">N22/18*AN22*40%</f>
        <v>0</v>
      </c>
      <c r="AP22" s="125"/>
      <c r="AQ22" s="125">
        <f t="shared" ref="AQ22" si="41">V22/18*2*40%</f>
        <v>0</v>
      </c>
      <c r="AR22" s="125">
        <f t="shared" ref="AR22" si="42">AN22+AP22</f>
        <v>0</v>
      </c>
      <c r="AS22" s="125">
        <f t="shared" ref="AS22" si="43">AO22+AQ22</f>
        <v>0</v>
      </c>
      <c r="AT22" s="125"/>
      <c r="AU22" s="125"/>
      <c r="AV22" s="126"/>
      <c r="AW22" s="126"/>
      <c r="AX22" s="130"/>
      <c r="AY22" s="126"/>
      <c r="AZ22" s="125"/>
      <c r="BA22" s="129"/>
      <c r="BB22" s="129"/>
      <c r="BC22" s="126">
        <v>13</v>
      </c>
      <c r="BD22" s="125">
        <f t="shared" si="25"/>
        <v>33574.527187500003</v>
      </c>
      <c r="BE22" s="125"/>
      <c r="BF22" s="125"/>
      <c r="BG22" s="125"/>
      <c r="BH22" s="125"/>
      <c r="BI22" s="125"/>
      <c r="BJ22" s="125"/>
      <c r="BK22" s="120">
        <f t="shared" si="9"/>
        <v>33574.527187500003</v>
      </c>
      <c r="BL22" s="120">
        <f t="shared" si="10"/>
        <v>156681.12687500002</v>
      </c>
      <c r="BM22" s="120">
        <f t="shared" si="11"/>
        <v>96993.078541666677</v>
      </c>
      <c r="BN22" s="120">
        <f t="shared" ref="BN22" si="44">BL22-BM22</f>
        <v>59688.04833333334</v>
      </c>
      <c r="BO22" s="120">
        <f t="shared" ref="BO22" si="45">BL22*12</f>
        <v>1880173.5225000002</v>
      </c>
    </row>
    <row r="23" spans="2:67" ht="15.75" customHeight="1" x14ac:dyDescent="0.25">
      <c r="B23" s="72" t="s">
        <v>246</v>
      </c>
      <c r="C23" s="74"/>
      <c r="D23" s="6" t="s">
        <v>100</v>
      </c>
      <c r="E23" s="72" t="s">
        <v>79</v>
      </c>
      <c r="F23" s="74">
        <v>48</v>
      </c>
      <c r="G23" s="75">
        <v>43335</v>
      </c>
      <c r="H23" s="75">
        <v>45161</v>
      </c>
      <c r="I23" s="72" t="s">
        <v>101</v>
      </c>
      <c r="J23" s="72" t="s">
        <v>92</v>
      </c>
      <c r="K23" s="74" t="s">
        <v>87</v>
      </c>
      <c r="L23" s="84">
        <v>17.05</v>
      </c>
      <c r="M23" s="76">
        <v>5.24</v>
      </c>
      <c r="N23" s="77">
        <v>17697</v>
      </c>
      <c r="O23" s="78">
        <f t="shared" si="0"/>
        <v>92732.28</v>
      </c>
      <c r="P23" s="74">
        <v>21</v>
      </c>
      <c r="Q23" s="74"/>
      <c r="R23" s="74"/>
      <c r="S23" s="114"/>
      <c r="T23" s="114"/>
      <c r="U23" s="114"/>
      <c r="V23" s="78">
        <f t="shared" si="12"/>
        <v>108187.65999999999</v>
      </c>
      <c r="W23" s="78">
        <f t="shared" si="13"/>
        <v>0</v>
      </c>
      <c r="X23" s="78">
        <f t="shared" si="14"/>
        <v>0</v>
      </c>
      <c r="Y23" s="79"/>
      <c r="Z23" s="79"/>
      <c r="AA23" s="79"/>
      <c r="AB23" s="78">
        <f t="shared" si="15"/>
        <v>108187.65999999999</v>
      </c>
      <c r="AC23" s="78">
        <f t="shared" si="16"/>
        <v>54093.829999999994</v>
      </c>
      <c r="AD23" s="78">
        <f t="shared" si="17"/>
        <v>40570.372499999998</v>
      </c>
      <c r="AE23" s="78">
        <f t="shared" si="18"/>
        <v>20285.186249999999</v>
      </c>
      <c r="AF23" s="78">
        <f t="shared" si="19"/>
        <v>223137.04874999999</v>
      </c>
      <c r="AG23" s="120"/>
      <c r="AH23" s="131">
        <v>10.5</v>
      </c>
      <c r="AI23" s="125">
        <f>N23/18*AH23*40%</f>
        <v>4129.3</v>
      </c>
      <c r="AJ23" s="125"/>
      <c r="AK23" s="125"/>
      <c r="AL23" s="131">
        <f t="shared" si="20"/>
        <v>10.5</v>
      </c>
      <c r="AM23" s="125">
        <f>AI23</f>
        <v>4129.3</v>
      </c>
      <c r="AN23" s="125"/>
      <c r="AO23" s="125">
        <f t="shared" si="28"/>
        <v>0</v>
      </c>
      <c r="AP23" s="125"/>
      <c r="AQ23" s="125"/>
      <c r="AR23" s="125">
        <f t="shared" si="22"/>
        <v>0</v>
      </c>
      <c r="AS23" s="125">
        <f t="shared" si="23"/>
        <v>0</v>
      </c>
      <c r="AT23" s="125">
        <f t="shared" si="24"/>
        <v>10.5</v>
      </c>
      <c r="AU23" s="125">
        <f t="shared" ref="AU23:AU42" si="46">AM23+AS23</f>
        <v>4129.3</v>
      </c>
      <c r="AV23" s="131" t="s">
        <v>206</v>
      </c>
      <c r="AW23" s="130">
        <v>1</v>
      </c>
      <c r="AX23" s="127"/>
      <c r="AY23" s="126"/>
      <c r="AZ23" s="125">
        <f>N23*50%</f>
        <v>8848.5</v>
      </c>
      <c r="BA23" s="129"/>
      <c r="BB23" s="129"/>
      <c r="BC23" s="126">
        <v>23</v>
      </c>
      <c r="BD23" s="125">
        <f>(AB23+AC23+AD23+AB67+AC67+AD67+AB71+AC71+AD71)*30%</f>
        <v>66651.326249999984</v>
      </c>
      <c r="BE23" s="125"/>
      <c r="BF23" s="131" t="s">
        <v>234</v>
      </c>
      <c r="BG23" s="125">
        <f>(AB23+AC23+AD23+AB67+AC67+AD67+AB71+AC71+AD71)*40%</f>
        <v>88868.434999999998</v>
      </c>
      <c r="BH23" s="125"/>
      <c r="BI23" s="125"/>
      <c r="BJ23" s="125"/>
      <c r="BK23" s="120">
        <f>AG23+AS23+AZ23+BB23+BD23+BE23+BG23+BH23+BI23+AU23</f>
        <v>168497.56124999997</v>
      </c>
      <c r="BL23" s="120">
        <f t="shared" si="10"/>
        <v>391634.61</v>
      </c>
      <c r="BM23" s="120">
        <f t="shared" si="11"/>
        <v>181600.71499999997</v>
      </c>
      <c r="BN23" s="120">
        <f t="shared" si="26"/>
        <v>210033.89500000002</v>
      </c>
      <c r="BO23" s="120">
        <f t="shared" si="27"/>
        <v>4699615.32</v>
      </c>
    </row>
    <row r="24" spans="2:67" ht="15.75" customHeight="1" x14ac:dyDescent="0.25">
      <c r="B24" s="72" t="s">
        <v>246</v>
      </c>
      <c r="C24" s="74"/>
      <c r="D24" s="85" t="s">
        <v>104</v>
      </c>
      <c r="E24" s="72" t="s">
        <v>79</v>
      </c>
      <c r="F24" s="74">
        <v>53</v>
      </c>
      <c r="G24" s="75">
        <v>43335</v>
      </c>
      <c r="H24" s="75">
        <v>45161</v>
      </c>
      <c r="I24" s="72" t="s">
        <v>105</v>
      </c>
      <c r="J24" s="72" t="s">
        <v>106</v>
      </c>
      <c r="K24" s="74" t="s">
        <v>81</v>
      </c>
      <c r="L24" s="76">
        <v>14.05</v>
      </c>
      <c r="M24" s="76">
        <v>4.95</v>
      </c>
      <c r="N24" s="77">
        <v>17697</v>
      </c>
      <c r="O24" s="78">
        <f t="shared" si="0"/>
        <v>87600.150000000009</v>
      </c>
      <c r="P24" s="74"/>
      <c r="Q24" s="74"/>
      <c r="R24" s="74">
        <v>2</v>
      </c>
      <c r="S24" s="114"/>
      <c r="T24" s="114"/>
      <c r="U24" s="114"/>
      <c r="V24" s="78">
        <f t="shared" si="12"/>
        <v>0</v>
      </c>
      <c r="W24" s="78">
        <f t="shared" si="13"/>
        <v>0</v>
      </c>
      <c r="X24" s="78"/>
      <c r="Y24" s="79"/>
      <c r="Z24" s="79"/>
      <c r="AA24" s="79"/>
      <c r="AB24" s="78">
        <f t="shared" si="15"/>
        <v>0</v>
      </c>
      <c r="AC24" s="78">
        <f t="shared" si="16"/>
        <v>0</v>
      </c>
      <c r="AD24" s="78">
        <f t="shared" si="17"/>
        <v>0</v>
      </c>
      <c r="AE24" s="78">
        <f t="shared" si="18"/>
        <v>0</v>
      </c>
      <c r="AF24" s="78">
        <f t="shared" si="19"/>
        <v>0</v>
      </c>
      <c r="AG24" s="120"/>
      <c r="AH24" s="125"/>
      <c r="AI24" s="125">
        <f t="shared" ref="AI24:AI44" si="47">N24/18*AH24*40%</f>
        <v>0</v>
      </c>
      <c r="AJ24" s="125"/>
      <c r="AK24" s="125">
        <f t="shared" si="2"/>
        <v>0</v>
      </c>
      <c r="AL24" s="125">
        <f t="shared" si="20"/>
        <v>0</v>
      </c>
      <c r="AM24" s="125">
        <f t="shared" si="21"/>
        <v>0</v>
      </c>
      <c r="AN24" s="125"/>
      <c r="AO24" s="125">
        <f t="shared" si="28"/>
        <v>0</v>
      </c>
      <c r="AP24" s="125"/>
      <c r="AQ24" s="125">
        <f t="shared" si="8"/>
        <v>0</v>
      </c>
      <c r="AR24" s="125">
        <f t="shared" si="22"/>
        <v>0</v>
      </c>
      <c r="AS24" s="125">
        <f t="shared" si="23"/>
        <v>0</v>
      </c>
      <c r="AT24" s="125">
        <f t="shared" si="24"/>
        <v>0</v>
      </c>
      <c r="AU24" s="125"/>
      <c r="AV24" s="126"/>
      <c r="AW24" s="126"/>
      <c r="AX24" s="130"/>
      <c r="AY24" s="126"/>
      <c r="AZ24" s="125"/>
      <c r="BA24" s="129"/>
      <c r="BB24" s="129"/>
      <c r="BC24" s="126"/>
      <c r="BD24" s="125">
        <f t="shared" si="25"/>
        <v>0</v>
      </c>
      <c r="BE24" s="125"/>
      <c r="BF24" s="125"/>
      <c r="BG24" s="125">
        <f>(AB24+AC24+AD24)*35%</f>
        <v>0</v>
      </c>
      <c r="BH24" s="125"/>
      <c r="BI24" s="125"/>
      <c r="BJ24" s="125"/>
      <c r="BK24" s="120">
        <f>AG24+AS24+AZ24+BB24+BD24+BE24+BG24+BH24+BI24+AU24</f>
        <v>0</v>
      </c>
      <c r="BL24" s="120">
        <f t="shared" si="10"/>
        <v>0</v>
      </c>
      <c r="BM24" s="120">
        <f t="shared" si="11"/>
        <v>0</v>
      </c>
      <c r="BN24" s="120">
        <f t="shared" si="26"/>
        <v>0</v>
      </c>
      <c r="BO24" s="120">
        <f t="shared" si="27"/>
        <v>0</v>
      </c>
    </row>
    <row r="25" spans="2:67" ht="15.75" customHeight="1" x14ac:dyDescent="0.25">
      <c r="B25" s="72" t="s">
        <v>246</v>
      </c>
      <c r="C25" s="74"/>
      <c r="D25" s="85" t="s">
        <v>109</v>
      </c>
      <c r="E25" s="72" t="s">
        <v>79</v>
      </c>
      <c r="F25" s="74">
        <v>20</v>
      </c>
      <c r="G25" s="72"/>
      <c r="H25" s="72"/>
      <c r="I25" s="72" t="s">
        <v>155</v>
      </c>
      <c r="J25" s="72" t="s">
        <v>156</v>
      </c>
      <c r="K25" s="74" t="s">
        <v>157</v>
      </c>
      <c r="L25" s="76">
        <v>21.08</v>
      </c>
      <c r="M25" s="82">
        <v>4.67</v>
      </c>
      <c r="N25" s="77">
        <v>17697</v>
      </c>
      <c r="O25" s="78">
        <f t="shared" ref="O25" si="48">SUM(N25*M25)</f>
        <v>82644.990000000005</v>
      </c>
      <c r="P25" s="74"/>
      <c r="Q25" s="74">
        <v>5</v>
      </c>
      <c r="R25" s="74">
        <v>4</v>
      </c>
      <c r="S25" s="114"/>
      <c r="T25" s="115"/>
      <c r="U25" s="114"/>
      <c r="V25" s="78">
        <f t="shared" si="12"/>
        <v>0</v>
      </c>
      <c r="W25" s="78">
        <f t="shared" si="13"/>
        <v>22956.941666666666</v>
      </c>
      <c r="X25" s="78">
        <f t="shared" si="14"/>
        <v>18365.553333333333</v>
      </c>
      <c r="Y25" s="79"/>
      <c r="Z25" s="79"/>
      <c r="AA25" s="79"/>
      <c r="AB25" s="78">
        <f t="shared" si="15"/>
        <v>41322.494999999995</v>
      </c>
      <c r="AC25" s="78">
        <f t="shared" si="16"/>
        <v>20661.247499999998</v>
      </c>
      <c r="AD25" s="78">
        <f t="shared" ref="AD25" si="49">(AB25+AC25)*25%</f>
        <v>15495.935624999998</v>
      </c>
      <c r="AE25" s="78">
        <f t="shared" si="18"/>
        <v>7747.9678124999991</v>
      </c>
      <c r="AF25" s="78">
        <f t="shared" si="19"/>
        <v>85227.645937499998</v>
      </c>
      <c r="AG25" s="120"/>
      <c r="AH25" s="125"/>
      <c r="AI25" s="125">
        <f t="shared" si="47"/>
        <v>0</v>
      </c>
      <c r="AJ25" s="125"/>
      <c r="AK25" s="125">
        <f t="shared" si="2"/>
        <v>0</v>
      </c>
      <c r="AL25" s="125">
        <f t="shared" si="20"/>
        <v>0</v>
      </c>
      <c r="AM25" s="125">
        <f t="shared" si="21"/>
        <v>0</v>
      </c>
      <c r="AN25" s="125"/>
      <c r="AO25" s="125">
        <f t="shared" si="28"/>
        <v>0</v>
      </c>
      <c r="AP25" s="131" t="s">
        <v>214</v>
      </c>
      <c r="AQ25" s="125">
        <f>N25/18*AP25*40%</f>
        <v>1769.7</v>
      </c>
      <c r="AR25" s="131">
        <f t="shared" si="22"/>
        <v>4.5</v>
      </c>
      <c r="AS25" s="125">
        <f t="shared" si="23"/>
        <v>1769.7</v>
      </c>
      <c r="AT25" s="125">
        <f t="shared" si="24"/>
        <v>4.5</v>
      </c>
      <c r="AU25" s="125">
        <f t="shared" si="46"/>
        <v>1769.7</v>
      </c>
      <c r="AV25" s="126"/>
      <c r="AW25" s="126"/>
      <c r="AX25" s="126"/>
      <c r="AY25" s="126"/>
      <c r="AZ25" s="125"/>
      <c r="BA25" s="129"/>
      <c r="BB25" s="129"/>
      <c r="BC25" s="126">
        <v>9</v>
      </c>
      <c r="BD25" s="125">
        <f t="shared" si="25"/>
        <v>23243.903437499997</v>
      </c>
      <c r="BE25" s="125"/>
      <c r="BF25" s="125"/>
      <c r="BG25" s="125"/>
      <c r="BH25" s="126"/>
      <c r="BI25" s="126"/>
      <c r="BJ25" s="126"/>
      <c r="BK25" s="120">
        <f>AU25+AZ25+BB25+BD25+BE25+BG25+BH25+BI25</f>
        <v>25013.603437499998</v>
      </c>
      <c r="BL25" s="120">
        <f t="shared" si="10"/>
        <v>110241.249375</v>
      </c>
      <c r="BM25" s="120">
        <f t="shared" si="11"/>
        <v>67149.054374999992</v>
      </c>
      <c r="BN25" s="120">
        <f t="shared" si="26"/>
        <v>43092.195000000007</v>
      </c>
      <c r="BO25" s="120">
        <f t="shared" si="27"/>
        <v>1322894.9924999999</v>
      </c>
    </row>
    <row r="26" spans="2:67" ht="15.75" customHeight="1" x14ac:dyDescent="0.25">
      <c r="B26" s="72" t="s">
        <v>246</v>
      </c>
      <c r="C26" s="74"/>
      <c r="D26" s="85" t="s">
        <v>109</v>
      </c>
      <c r="E26" s="72" t="s">
        <v>79</v>
      </c>
      <c r="F26" s="74">
        <v>21</v>
      </c>
      <c r="G26" s="75"/>
      <c r="H26" s="72"/>
      <c r="I26" s="72" t="s">
        <v>110</v>
      </c>
      <c r="J26" s="72" t="s">
        <v>182</v>
      </c>
      <c r="K26" s="74" t="s">
        <v>87</v>
      </c>
      <c r="L26" s="76">
        <v>21.08</v>
      </c>
      <c r="M26" s="82">
        <v>5.32</v>
      </c>
      <c r="N26" s="77">
        <v>17697</v>
      </c>
      <c r="O26" s="78">
        <f t="shared" si="0"/>
        <v>94148.040000000008</v>
      </c>
      <c r="P26" s="74"/>
      <c r="Q26" s="74">
        <v>6</v>
      </c>
      <c r="R26" s="74">
        <v>4</v>
      </c>
      <c r="S26" s="114"/>
      <c r="T26" s="114"/>
      <c r="U26" s="115"/>
      <c r="V26" s="78">
        <f t="shared" si="12"/>
        <v>0</v>
      </c>
      <c r="W26" s="78">
        <f t="shared" si="13"/>
        <v>31382.68</v>
      </c>
      <c r="X26" s="78">
        <f t="shared" si="14"/>
        <v>20921.786666666667</v>
      </c>
      <c r="Y26" s="79"/>
      <c r="Z26" s="79"/>
      <c r="AA26" s="79"/>
      <c r="AB26" s="78">
        <f t="shared" si="15"/>
        <v>52304.466666666667</v>
      </c>
      <c r="AC26" s="78">
        <f t="shared" si="16"/>
        <v>26152.233333333334</v>
      </c>
      <c r="AD26" s="78">
        <f t="shared" si="17"/>
        <v>19614.174999999999</v>
      </c>
      <c r="AE26" s="78">
        <f t="shared" si="18"/>
        <v>9807.0874999999996</v>
      </c>
      <c r="AF26" s="78">
        <f t="shared" si="19"/>
        <v>107877.96249999999</v>
      </c>
      <c r="AG26" s="120"/>
      <c r="AH26" s="125"/>
      <c r="AI26" s="125">
        <f t="shared" si="47"/>
        <v>0</v>
      </c>
      <c r="AJ26" s="125"/>
      <c r="AK26" s="125">
        <f t="shared" si="2"/>
        <v>0</v>
      </c>
      <c r="AL26" s="125">
        <f t="shared" si="20"/>
        <v>0</v>
      </c>
      <c r="AM26" s="125">
        <f t="shared" si="21"/>
        <v>0</v>
      </c>
      <c r="AN26" s="125"/>
      <c r="AO26" s="125">
        <f t="shared" si="28"/>
        <v>0</v>
      </c>
      <c r="AP26" s="125">
        <v>5</v>
      </c>
      <c r="AQ26" s="125">
        <f t="shared" ref="AQ26:AQ29" si="50">N26/18*AP26*40%</f>
        <v>1966.3333333333333</v>
      </c>
      <c r="AR26" s="131">
        <f t="shared" si="22"/>
        <v>5</v>
      </c>
      <c r="AS26" s="125">
        <f t="shared" si="23"/>
        <v>1966.3333333333333</v>
      </c>
      <c r="AT26" s="125">
        <f t="shared" si="24"/>
        <v>5</v>
      </c>
      <c r="AU26" s="125">
        <f t="shared" si="46"/>
        <v>1966.3333333333333</v>
      </c>
      <c r="AV26" s="126">
        <v>11</v>
      </c>
      <c r="AW26" s="126"/>
      <c r="AX26" s="126"/>
      <c r="AY26" s="126">
        <v>1</v>
      </c>
      <c r="AZ26" s="125">
        <f>N26*60%</f>
        <v>10618.199999999999</v>
      </c>
      <c r="BA26" s="129">
        <v>1</v>
      </c>
      <c r="BB26" s="129">
        <f>N26*20%</f>
        <v>3539.4</v>
      </c>
      <c r="BC26" s="126">
        <v>12</v>
      </c>
      <c r="BD26" s="125">
        <f>(AB26+AC26+AD26+AB65+AC65+AD65)*30%</f>
        <v>35305.515000000007</v>
      </c>
      <c r="BE26" s="125">
        <f>BE16</f>
        <v>17697</v>
      </c>
      <c r="BF26" s="125">
        <v>12</v>
      </c>
      <c r="BG26" s="125">
        <f>(AB26+AC26+AD26+AB65+AC65+AD65)*35%</f>
        <v>41189.767500000002</v>
      </c>
      <c r="BH26" s="125"/>
      <c r="BI26" s="125"/>
      <c r="BJ26" s="125"/>
      <c r="BK26" s="120">
        <f>AG26+AU26+AZ26+BB26+BD26+BE26+BG26</f>
        <v>110316.21583333334</v>
      </c>
      <c r="BL26" s="120">
        <f t="shared" si="10"/>
        <v>218194.17833333334</v>
      </c>
      <c r="BM26" s="120">
        <f t="shared" si="11"/>
        <v>108576.01083333333</v>
      </c>
      <c r="BN26" s="120">
        <f t="shared" si="26"/>
        <v>109618.16750000001</v>
      </c>
      <c r="BO26" s="120">
        <f t="shared" si="27"/>
        <v>2618330.14</v>
      </c>
    </row>
    <row r="27" spans="2:67" ht="15.75" customHeight="1" x14ac:dyDescent="0.25">
      <c r="B27" s="72" t="s">
        <v>246</v>
      </c>
      <c r="C27" s="74"/>
      <c r="D27" s="72" t="s">
        <v>113</v>
      </c>
      <c r="E27" s="72" t="s">
        <v>79</v>
      </c>
      <c r="F27" s="74">
        <v>50</v>
      </c>
      <c r="G27" s="75">
        <v>43335</v>
      </c>
      <c r="H27" s="75">
        <v>45161</v>
      </c>
      <c r="I27" s="72" t="s">
        <v>114</v>
      </c>
      <c r="J27" s="72" t="s">
        <v>92</v>
      </c>
      <c r="K27" s="74" t="s">
        <v>87</v>
      </c>
      <c r="L27" s="76">
        <v>21.09</v>
      </c>
      <c r="M27" s="76">
        <v>5.32</v>
      </c>
      <c r="N27" s="77">
        <v>17697</v>
      </c>
      <c r="O27" s="78">
        <f t="shared" si="0"/>
        <v>94148.040000000008</v>
      </c>
      <c r="P27" s="74"/>
      <c r="Q27" s="74">
        <v>17.5</v>
      </c>
      <c r="R27" s="74">
        <v>6</v>
      </c>
      <c r="S27" s="114"/>
      <c r="T27" s="115"/>
      <c r="U27" s="114"/>
      <c r="V27" s="78">
        <f t="shared" si="12"/>
        <v>0</v>
      </c>
      <c r="W27" s="78">
        <f t="shared" si="13"/>
        <v>91532.816666666666</v>
      </c>
      <c r="X27" s="78">
        <f t="shared" si="14"/>
        <v>31382.68</v>
      </c>
      <c r="Y27" s="79"/>
      <c r="Z27" s="79"/>
      <c r="AA27" s="79"/>
      <c r="AB27" s="78">
        <f t="shared" si="15"/>
        <v>122915.49666666667</v>
      </c>
      <c r="AC27" s="78">
        <f t="shared" si="16"/>
        <v>61457.748333333337</v>
      </c>
      <c r="AD27" s="78">
        <f t="shared" si="17"/>
        <v>46093.311249999999</v>
      </c>
      <c r="AE27" s="78">
        <f t="shared" si="18"/>
        <v>23046.655624999999</v>
      </c>
      <c r="AF27" s="78">
        <f t="shared" si="19"/>
        <v>253513.21187499998</v>
      </c>
      <c r="AG27" s="120"/>
      <c r="AH27" s="125"/>
      <c r="AI27" s="125">
        <f t="shared" si="47"/>
        <v>0</v>
      </c>
      <c r="AJ27" s="125"/>
      <c r="AK27" s="125">
        <f t="shared" si="2"/>
        <v>0</v>
      </c>
      <c r="AL27" s="125">
        <f t="shared" si="20"/>
        <v>0</v>
      </c>
      <c r="AM27" s="125">
        <f t="shared" si="21"/>
        <v>0</v>
      </c>
      <c r="AN27" s="125"/>
      <c r="AO27" s="125">
        <f t="shared" si="28"/>
        <v>0</v>
      </c>
      <c r="AP27" s="131" t="s">
        <v>224</v>
      </c>
      <c r="AQ27" s="125">
        <f>N27/18*AP27*40%</f>
        <v>4620.8833333333332</v>
      </c>
      <c r="AR27" s="131">
        <f t="shared" si="22"/>
        <v>11.75</v>
      </c>
      <c r="AS27" s="125">
        <f t="shared" si="23"/>
        <v>4620.8833333333332</v>
      </c>
      <c r="AT27" s="131">
        <f t="shared" si="24"/>
        <v>11.75</v>
      </c>
      <c r="AU27" s="125">
        <f t="shared" si="46"/>
        <v>4620.8833333333332</v>
      </c>
      <c r="AV27" s="126">
        <v>10</v>
      </c>
      <c r="AW27" s="126"/>
      <c r="AX27" s="130"/>
      <c r="AY27" s="126">
        <v>1</v>
      </c>
      <c r="AZ27" s="125">
        <f>N27*60%</f>
        <v>10618.199999999999</v>
      </c>
      <c r="BA27" s="129">
        <v>1</v>
      </c>
      <c r="BB27" s="129">
        <f>N27*20%</f>
        <v>3539.4</v>
      </c>
      <c r="BC27" s="126">
        <v>25.5</v>
      </c>
      <c r="BD27" s="125">
        <f>(AB27+AC27+AD27+AB59+AC59+AD59)*30%</f>
        <v>75024.219374999986</v>
      </c>
      <c r="BE27" s="125"/>
      <c r="BF27" s="131" t="s">
        <v>237</v>
      </c>
      <c r="BG27" s="125">
        <f>(AB27+AC27+AD27+AB59+AC59+AD59)*40%</f>
        <v>100032.2925</v>
      </c>
      <c r="BH27" s="125"/>
      <c r="BI27" s="125"/>
      <c r="BJ27" s="125"/>
      <c r="BK27" s="120">
        <f>AG27+AU27+AZ27+BB27+BD27+BE27+BG27</f>
        <v>193834.9952083333</v>
      </c>
      <c r="BL27" s="120">
        <f t="shared" si="10"/>
        <v>447348.20708333328</v>
      </c>
      <c r="BM27" s="120">
        <f t="shared" si="11"/>
        <v>205621.93458333332</v>
      </c>
      <c r="BN27" s="120">
        <f t="shared" si="26"/>
        <v>241726.27249999996</v>
      </c>
      <c r="BO27" s="120">
        <f t="shared" si="27"/>
        <v>5368178.4849999994</v>
      </c>
    </row>
    <row r="28" spans="2:67" ht="15.75" customHeight="1" x14ac:dyDescent="0.25">
      <c r="B28" s="72" t="s">
        <v>246</v>
      </c>
      <c r="C28" s="74"/>
      <c r="D28" s="72" t="s">
        <v>117</v>
      </c>
      <c r="E28" s="72" t="s">
        <v>118</v>
      </c>
      <c r="F28" s="74">
        <v>32</v>
      </c>
      <c r="G28" s="75">
        <v>42529</v>
      </c>
      <c r="H28" s="75">
        <v>44355</v>
      </c>
      <c r="I28" s="72" t="s">
        <v>119</v>
      </c>
      <c r="J28" s="72" t="s">
        <v>106</v>
      </c>
      <c r="K28" s="74" t="s">
        <v>239</v>
      </c>
      <c r="L28" s="76">
        <v>37.01</v>
      </c>
      <c r="M28" s="76">
        <v>4.29</v>
      </c>
      <c r="N28" s="77">
        <v>17697</v>
      </c>
      <c r="O28" s="78">
        <f t="shared" si="0"/>
        <v>75920.13</v>
      </c>
      <c r="P28" s="74"/>
      <c r="Q28" s="73">
        <v>5</v>
      </c>
      <c r="R28" s="73"/>
      <c r="S28" s="114"/>
      <c r="T28" s="114"/>
      <c r="U28" s="114"/>
      <c r="V28" s="78">
        <f t="shared" si="12"/>
        <v>0</v>
      </c>
      <c r="W28" s="78">
        <f t="shared" si="13"/>
        <v>21088.924999999999</v>
      </c>
      <c r="X28" s="78">
        <f t="shared" si="14"/>
        <v>0</v>
      </c>
      <c r="Y28" s="79"/>
      <c r="Z28" s="79"/>
      <c r="AA28" s="79"/>
      <c r="AB28" s="78">
        <f t="shared" si="15"/>
        <v>21088.924999999999</v>
      </c>
      <c r="AC28" s="78">
        <f t="shared" si="16"/>
        <v>10544.4625</v>
      </c>
      <c r="AD28" s="78">
        <f t="shared" si="17"/>
        <v>7908.3468749999993</v>
      </c>
      <c r="AE28" s="78">
        <f t="shared" si="18"/>
        <v>3954.1734375000001</v>
      </c>
      <c r="AF28" s="78">
        <f t="shared" si="19"/>
        <v>43495.907812500001</v>
      </c>
      <c r="AG28" s="120"/>
      <c r="AH28" s="125"/>
      <c r="AI28" s="125">
        <f t="shared" si="47"/>
        <v>0</v>
      </c>
      <c r="AJ28" s="125"/>
      <c r="AK28" s="125">
        <f t="shared" si="2"/>
        <v>0</v>
      </c>
      <c r="AL28" s="125">
        <f t="shared" si="20"/>
        <v>0</v>
      </c>
      <c r="AM28" s="125">
        <f t="shared" si="21"/>
        <v>0</v>
      </c>
      <c r="AN28" s="125"/>
      <c r="AO28" s="125">
        <f t="shared" si="28"/>
        <v>0</v>
      </c>
      <c r="AP28" s="125"/>
      <c r="AQ28" s="125">
        <f t="shared" si="50"/>
        <v>0</v>
      </c>
      <c r="AR28" s="131">
        <f t="shared" si="22"/>
        <v>0</v>
      </c>
      <c r="AS28" s="125">
        <f t="shared" si="23"/>
        <v>0</v>
      </c>
      <c r="AT28" s="125">
        <f t="shared" si="24"/>
        <v>0</v>
      </c>
      <c r="AU28" s="125"/>
      <c r="AV28" s="126"/>
      <c r="AW28" s="126"/>
      <c r="AX28" s="130"/>
      <c r="AY28" s="126"/>
      <c r="AZ28" s="125"/>
      <c r="BA28" s="129"/>
      <c r="BB28" s="129"/>
      <c r="BC28" s="126">
        <v>15</v>
      </c>
      <c r="BD28" s="125">
        <f>(AB28+AC28+AD28+AB50+AC50+AD50+AB70+AC70+AD70+AB53+AC53+AD53+AB55+AC55+AD55+AB57+AC57+AD57)*30%</f>
        <v>35587.560937499999</v>
      </c>
      <c r="BE28" s="125"/>
      <c r="BF28" s="131" t="s">
        <v>209</v>
      </c>
      <c r="BG28" s="125">
        <f>(AB28+AC28+AD28+AB50+AC50+AD50+AB53+AC53+AD53+AB55+AC55+AD55+AB57+AC57+AD57+AB70+AC70+AD70)*35%</f>
        <v>41518.821093749997</v>
      </c>
      <c r="BH28" s="125"/>
      <c r="BI28" s="125"/>
      <c r="BJ28" s="125"/>
      <c r="BK28" s="120">
        <f>AG28+AU28+AZ28+BB28+BD28+BE28+BG28</f>
        <v>77106.382031249988</v>
      </c>
      <c r="BL28" s="120">
        <f t="shared" si="10"/>
        <v>120602.28984374998</v>
      </c>
      <c r="BM28" s="120">
        <f t="shared" si="11"/>
        <v>57994.543749999997</v>
      </c>
      <c r="BN28" s="120">
        <f t="shared" si="26"/>
        <v>62607.746093749985</v>
      </c>
      <c r="BO28" s="120">
        <f t="shared" si="27"/>
        <v>1447227.4781249999</v>
      </c>
    </row>
    <row r="29" spans="2:67" ht="15.75" customHeight="1" x14ac:dyDescent="0.25">
      <c r="B29" s="72" t="s">
        <v>246</v>
      </c>
      <c r="C29" s="74"/>
      <c r="D29" s="72" t="s">
        <v>122</v>
      </c>
      <c r="E29" s="72" t="s">
        <v>79</v>
      </c>
      <c r="F29" s="74">
        <v>49</v>
      </c>
      <c r="G29" s="75">
        <v>43335</v>
      </c>
      <c r="H29" s="75">
        <v>45161</v>
      </c>
      <c r="I29" s="72" t="s">
        <v>123</v>
      </c>
      <c r="J29" s="72" t="s">
        <v>92</v>
      </c>
      <c r="K29" s="74" t="s">
        <v>87</v>
      </c>
      <c r="L29" s="76">
        <v>17.04</v>
      </c>
      <c r="M29" s="76">
        <v>5.24</v>
      </c>
      <c r="N29" s="77">
        <v>17697</v>
      </c>
      <c r="O29" s="78">
        <f t="shared" si="0"/>
        <v>92732.28</v>
      </c>
      <c r="P29" s="74">
        <v>8</v>
      </c>
      <c r="Q29" s="74">
        <v>12</v>
      </c>
      <c r="R29" s="86">
        <v>6</v>
      </c>
      <c r="S29" s="114"/>
      <c r="T29" s="114"/>
      <c r="U29" s="114"/>
      <c r="V29" s="78">
        <f t="shared" si="12"/>
        <v>41214.346666666665</v>
      </c>
      <c r="W29" s="78">
        <f t="shared" si="13"/>
        <v>61821.52</v>
      </c>
      <c r="X29" s="78">
        <f t="shared" si="14"/>
        <v>30910.76</v>
      </c>
      <c r="Y29" s="79"/>
      <c r="Z29" s="79"/>
      <c r="AA29" s="79"/>
      <c r="AB29" s="78">
        <f t="shared" si="15"/>
        <v>133946.62666666668</v>
      </c>
      <c r="AC29" s="78">
        <f t="shared" si="16"/>
        <v>66973.313333333339</v>
      </c>
      <c r="AD29" s="78">
        <f t="shared" si="17"/>
        <v>50229.985000000001</v>
      </c>
      <c r="AE29" s="78">
        <f t="shared" si="18"/>
        <v>25114.9925</v>
      </c>
      <c r="AF29" s="78">
        <f t="shared" si="19"/>
        <v>276264.91749999998</v>
      </c>
      <c r="AG29" s="120"/>
      <c r="AH29" s="125"/>
      <c r="AI29" s="125">
        <f t="shared" si="47"/>
        <v>0</v>
      </c>
      <c r="AJ29" s="125">
        <v>4</v>
      </c>
      <c r="AK29" s="125">
        <f>N29/18*AJ29*50%</f>
        <v>1966.3333333333333</v>
      </c>
      <c r="AL29" s="125">
        <f>AJ29</f>
        <v>4</v>
      </c>
      <c r="AM29" s="125">
        <f t="shared" si="21"/>
        <v>1966.3333333333333</v>
      </c>
      <c r="AN29" s="125"/>
      <c r="AO29" s="125">
        <f t="shared" si="28"/>
        <v>0</v>
      </c>
      <c r="AP29" s="125">
        <v>9</v>
      </c>
      <c r="AQ29" s="125">
        <f t="shared" si="50"/>
        <v>3539.4</v>
      </c>
      <c r="AR29" s="131">
        <f t="shared" si="22"/>
        <v>9</v>
      </c>
      <c r="AS29" s="125">
        <f t="shared" si="23"/>
        <v>3539.4</v>
      </c>
      <c r="AT29" s="125">
        <f t="shared" si="24"/>
        <v>13</v>
      </c>
      <c r="AU29" s="125">
        <f t="shared" si="46"/>
        <v>5505.7333333333336</v>
      </c>
      <c r="AV29" s="126">
        <v>9</v>
      </c>
      <c r="AW29" s="126"/>
      <c r="AX29" s="130">
        <v>1</v>
      </c>
      <c r="AY29" s="126"/>
      <c r="AZ29" s="125">
        <f t="shared" ref="AZ29" si="51">N29*60%</f>
        <v>10618.199999999999</v>
      </c>
      <c r="BA29" s="129"/>
      <c r="BB29" s="129"/>
      <c r="BC29" s="126">
        <v>26</v>
      </c>
      <c r="BD29" s="125">
        <f t="shared" ref="BD29:BD44" si="52">(AB29+AC29+AD29)*30%</f>
        <v>75344.977499999994</v>
      </c>
      <c r="BE29" s="125"/>
      <c r="BF29" s="125">
        <v>26</v>
      </c>
      <c r="BG29" s="125">
        <f>(AB29+AC29+AD29)*40%</f>
        <v>100459.97</v>
      </c>
      <c r="BH29" s="125">
        <f>7079/18*8</f>
        <v>3146.2222222222222</v>
      </c>
      <c r="BI29" s="125"/>
      <c r="BJ29" s="125"/>
      <c r="BK29" s="120">
        <f>AG29+AU29+AZ29+BB29+BD29+BE29+BG29+BH29</f>
        <v>195075.10305555555</v>
      </c>
      <c r="BL29" s="120">
        <f t="shared" si="10"/>
        <v>471340.02055555553</v>
      </c>
      <c r="BM29" s="120">
        <f t="shared" si="11"/>
        <v>217663.26833333331</v>
      </c>
      <c r="BN29" s="120">
        <f t="shared" si="26"/>
        <v>253676.75222222222</v>
      </c>
      <c r="BO29" s="120">
        <f t="shared" si="27"/>
        <v>5656080.2466666661</v>
      </c>
    </row>
    <row r="30" spans="2:67" ht="15.75" customHeight="1" x14ac:dyDescent="0.25">
      <c r="B30" s="72" t="s">
        <v>246</v>
      </c>
      <c r="C30" s="74"/>
      <c r="D30" s="6" t="s">
        <v>125</v>
      </c>
      <c r="E30" s="72" t="s">
        <v>79</v>
      </c>
      <c r="F30" s="74">
        <v>51</v>
      </c>
      <c r="G30" s="75">
        <v>43335</v>
      </c>
      <c r="H30" s="75">
        <v>45161</v>
      </c>
      <c r="I30" s="72" t="s">
        <v>101</v>
      </c>
      <c r="J30" s="72" t="s">
        <v>92</v>
      </c>
      <c r="K30" s="74" t="s">
        <v>87</v>
      </c>
      <c r="L30" s="84">
        <v>29.11</v>
      </c>
      <c r="M30" s="76">
        <v>5.41</v>
      </c>
      <c r="N30" s="77">
        <v>17697</v>
      </c>
      <c r="O30" s="78">
        <f t="shared" si="0"/>
        <v>95740.77</v>
      </c>
      <c r="P30" s="74">
        <v>18</v>
      </c>
      <c r="Q30" s="74"/>
      <c r="R30" s="74"/>
      <c r="S30" s="114"/>
      <c r="T30" s="114"/>
      <c r="U30" s="114"/>
      <c r="V30" s="78">
        <f t="shared" si="12"/>
        <v>95740.770000000019</v>
      </c>
      <c r="W30" s="78">
        <f t="shared" si="13"/>
        <v>0</v>
      </c>
      <c r="X30" s="78">
        <f t="shared" si="14"/>
        <v>0</v>
      </c>
      <c r="Y30" s="79"/>
      <c r="Z30" s="79"/>
      <c r="AA30" s="79"/>
      <c r="AB30" s="78">
        <f t="shared" si="15"/>
        <v>95740.770000000019</v>
      </c>
      <c r="AC30" s="78">
        <f t="shared" si="16"/>
        <v>47870.385000000009</v>
      </c>
      <c r="AD30" s="78">
        <f t="shared" si="17"/>
        <v>35902.788750000007</v>
      </c>
      <c r="AE30" s="78">
        <f t="shared" si="18"/>
        <v>17951.394375000003</v>
      </c>
      <c r="AF30" s="78">
        <f t="shared" si="19"/>
        <v>197465.33812500004</v>
      </c>
      <c r="AG30" s="120"/>
      <c r="AH30" s="130">
        <v>9</v>
      </c>
      <c r="AI30" s="125">
        <f t="shared" si="47"/>
        <v>3539.4</v>
      </c>
      <c r="AJ30" s="125"/>
      <c r="AK30" s="125"/>
      <c r="AL30" s="125">
        <f t="shared" si="20"/>
        <v>9</v>
      </c>
      <c r="AM30" s="125">
        <f t="shared" si="21"/>
        <v>3539.4</v>
      </c>
      <c r="AN30" s="125"/>
      <c r="AO30" s="125">
        <f t="shared" si="28"/>
        <v>0</v>
      </c>
      <c r="AP30" s="125"/>
      <c r="AQ30" s="125">
        <f t="shared" ref="AQ30:AQ44" si="53">N30/18*AP30*40%</f>
        <v>0</v>
      </c>
      <c r="AR30" s="131">
        <f t="shared" si="22"/>
        <v>0</v>
      </c>
      <c r="AS30" s="125">
        <f t="shared" si="23"/>
        <v>0</v>
      </c>
      <c r="AT30" s="125">
        <f t="shared" si="24"/>
        <v>9</v>
      </c>
      <c r="AU30" s="125">
        <f t="shared" si="46"/>
        <v>3539.4</v>
      </c>
      <c r="AV30" s="126">
        <v>2</v>
      </c>
      <c r="AW30" s="126">
        <v>1</v>
      </c>
      <c r="AX30" s="130"/>
      <c r="AY30" s="127"/>
      <c r="AZ30" s="125">
        <f>N30*50%</f>
        <v>8848.5</v>
      </c>
      <c r="BA30" s="129"/>
      <c r="BB30" s="129"/>
      <c r="BC30" s="126">
        <v>20</v>
      </c>
      <c r="BD30" s="125">
        <f>(AB30+AC30+AD30+AB52+AC52+AD52+AB72+AC72+AD72)*30%</f>
        <v>59837.981249999997</v>
      </c>
      <c r="BE30" s="125"/>
      <c r="BF30" s="125">
        <v>20</v>
      </c>
      <c r="BG30" s="125">
        <f>(AB30+AC30+AD30+AB52+AC52+AD52+AB72+AC72+AD72)*40%</f>
        <v>79783.975000000006</v>
      </c>
      <c r="BH30" s="125"/>
      <c r="BI30" s="125"/>
      <c r="BJ30" s="125"/>
      <c r="BK30" s="120">
        <f>AG30+AU30+AZ30+BB30+BD30+BE30+BG30+BH30</f>
        <v>152009.85625000001</v>
      </c>
      <c r="BL30" s="120">
        <f t="shared" si="10"/>
        <v>349475.19437500008</v>
      </c>
      <c r="BM30" s="120">
        <f t="shared" si="11"/>
        <v>161562.549375</v>
      </c>
      <c r="BN30" s="120">
        <f t="shared" si="26"/>
        <v>187912.64500000008</v>
      </c>
      <c r="BO30" s="120">
        <f t="shared" si="27"/>
        <v>4193702.3325000009</v>
      </c>
    </row>
    <row r="31" spans="2:67" ht="15.75" customHeight="1" x14ac:dyDescent="0.25">
      <c r="B31" s="72" t="s">
        <v>246</v>
      </c>
      <c r="C31" s="74"/>
      <c r="D31" s="72" t="s">
        <v>127</v>
      </c>
      <c r="E31" s="72" t="s">
        <v>79</v>
      </c>
      <c r="F31" s="74">
        <v>55</v>
      </c>
      <c r="G31" s="72" t="s">
        <v>128</v>
      </c>
      <c r="H31" s="72" t="s">
        <v>97</v>
      </c>
      <c r="I31" s="72" t="s">
        <v>85</v>
      </c>
      <c r="J31" s="72" t="s">
        <v>86</v>
      </c>
      <c r="K31" s="74" t="s">
        <v>87</v>
      </c>
      <c r="L31" s="76">
        <v>32.03</v>
      </c>
      <c r="M31" s="76">
        <v>5.41</v>
      </c>
      <c r="N31" s="77">
        <v>17697</v>
      </c>
      <c r="O31" s="78">
        <f t="shared" si="0"/>
        <v>95740.77</v>
      </c>
      <c r="P31" s="74"/>
      <c r="Q31" s="74">
        <v>15</v>
      </c>
      <c r="R31" s="74"/>
      <c r="S31" s="114"/>
      <c r="T31" s="114"/>
      <c r="U31" s="114"/>
      <c r="V31" s="78">
        <f t="shared" si="12"/>
        <v>0</v>
      </c>
      <c r="W31" s="78">
        <f t="shared" si="13"/>
        <v>79783.975000000006</v>
      </c>
      <c r="X31" s="78">
        <f t="shared" si="14"/>
        <v>0</v>
      </c>
      <c r="Y31" s="79"/>
      <c r="Z31" s="79"/>
      <c r="AA31" s="79"/>
      <c r="AB31" s="78">
        <f t="shared" si="15"/>
        <v>79783.975000000006</v>
      </c>
      <c r="AC31" s="78">
        <f t="shared" si="16"/>
        <v>39891.987500000003</v>
      </c>
      <c r="AD31" s="78">
        <f t="shared" si="17"/>
        <v>29918.990625000002</v>
      </c>
      <c r="AE31" s="78">
        <f t="shared" si="18"/>
        <v>14959.495312500001</v>
      </c>
      <c r="AF31" s="78">
        <f t="shared" si="19"/>
        <v>164554.44843749999</v>
      </c>
      <c r="AG31" s="120"/>
      <c r="AH31" s="125"/>
      <c r="AI31" s="125">
        <f t="shared" si="47"/>
        <v>0</v>
      </c>
      <c r="AJ31" s="125"/>
      <c r="AK31" s="125">
        <f t="shared" si="2"/>
        <v>0</v>
      </c>
      <c r="AL31" s="125">
        <f t="shared" si="20"/>
        <v>0</v>
      </c>
      <c r="AM31" s="125">
        <f t="shared" si="21"/>
        <v>0</v>
      </c>
      <c r="AN31" s="131">
        <v>7.5</v>
      </c>
      <c r="AO31" s="125">
        <f>N31/18*AN31*50%</f>
        <v>3686.875</v>
      </c>
      <c r="AP31" s="125"/>
      <c r="AQ31" s="125">
        <f t="shared" si="53"/>
        <v>0</v>
      </c>
      <c r="AR31" s="131">
        <f t="shared" si="22"/>
        <v>7.5</v>
      </c>
      <c r="AS31" s="125">
        <f t="shared" si="23"/>
        <v>3686.875</v>
      </c>
      <c r="AT31" s="131">
        <f t="shared" si="24"/>
        <v>7.5</v>
      </c>
      <c r="AU31" s="125">
        <f t="shared" si="46"/>
        <v>3686.875</v>
      </c>
      <c r="AV31" s="126"/>
      <c r="AW31" s="126"/>
      <c r="AX31" s="130"/>
      <c r="AY31" s="126"/>
      <c r="AZ31" s="125"/>
      <c r="BA31" s="129"/>
      <c r="BB31" s="129"/>
      <c r="BC31" s="126">
        <v>17</v>
      </c>
      <c r="BD31" s="125">
        <f>(AB31+AC31+AD31+AB48+AC48+AD48+AB62+AC62+AD62)*30%</f>
        <v>50862.284062499988</v>
      </c>
      <c r="BE31" s="125"/>
      <c r="BF31" s="131" t="s">
        <v>233</v>
      </c>
      <c r="BG31" s="125">
        <f>(AB31+AC31+AD31+AB48+AC48+AD48+AB62+AC62+AD62)*40%</f>
        <v>67816.378749999989</v>
      </c>
      <c r="BH31" s="125"/>
      <c r="BI31" s="125"/>
      <c r="BJ31" s="125"/>
      <c r="BK31" s="120">
        <f>AG31+AU31+AZ31+BB31+BD31+BE31+BG31+BH31</f>
        <v>122365.53781249997</v>
      </c>
      <c r="BL31" s="120">
        <f t="shared" si="10"/>
        <v>286919.98624999996</v>
      </c>
      <c r="BM31" s="120">
        <f t="shared" si="11"/>
        <v>135632.75750000001</v>
      </c>
      <c r="BN31" s="120">
        <f t="shared" si="26"/>
        <v>151287.22874999995</v>
      </c>
      <c r="BO31" s="120">
        <f t="shared" si="27"/>
        <v>3443039.8349999995</v>
      </c>
    </row>
    <row r="32" spans="2:67" ht="15.75" customHeight="1" x14ac:dyDescent="0.25">
      <c r="B32" s="72" t="s">
        <v>246</v>
      </c>
      <c r="C32" s="74"/>
      <c r="D32" s="72" t="s">
        <v>131</v>
      </c>
      <c r="E32" s="72" t="s">
        <v>79</v>
      </c>
      <c r="F32" s="74">
        <v>19</v>
      </c>
      <c r="G32" s="72"/>
      <c r="H32" s="72"/>
      <c r="I32" s="72" t="s">
        <v>101</v>
      </c>
      <c r="J32" s="72" t="s">
        <v>106</v>
      </c>
      <c r="K32" s="74" t="s">
        <v>81</v>
      </c>
      <c r="L32" s="76">
        <v>14.09</v>
      </c>
      <c r="M32" s="76">
        <v>4.95</v>
      </c>
      <c r="N32" s="77">
        <v>17697</v>
      </c>
      <c r="O32" s="78">
        <f t="shared" si="0"/>
        <v>87600.150000000009</v>
      </c>
      <c r="P32" s="74">
        <v>17</v>
      </c>
      <c r="Q32" s="74"/>
      <c r="R32" s="74"/>
      <c r="S32" s="114"/>
      <c r="T32" s="114"/>
      <c r="U32" s="114"/>
      <c r="V32" s="78">
        <f t="shared" si="12"/>
        <v>82733.475000000006</v>
      </c>
      <c r="W32" s="78">
        <f t="shared" si="13"/>
        <v>0</v>
      </c>
      <c r="X32" s="78">
        <f t="shared" si="14"/>
        <v>0</v>
      </c>
      <c r="Y32" s="79"/>
      <c r="Z32" s="79"/>
      <c r="AA32" s="79"/>
      <c r="AB32" s="78">
        <f t="shared" si="15"/>
        <v>82733.475000000006</v>
      </c>
      <c r="AC32" s="78">
        <f t="shared" si="16"/>
        <v>41366.737500000003</v>
      </c>
      <c r="AD32" s="78">
        <f t="shared" si="17"/>
        <v>31025.053125000002</v>
      </c>
      <c r="AE32" s="78">
        <f t="shared" si="18"/>
        <v>15512.526562500001</v>
      </c>
      <c r="AF32" s="78">
        <f t="shared" si="19"/>
        <v>170637.79218749999</v>
      </c>
      <c r="AG32" s="120"/>
      <c r="AH32" s="131">
        <v>8.5</v>
      </c>
      <c r="AI32" s="125">
        <f t="shared" si="47"/>
        <v>3342.7666666666664</v>
      </c>
      <c r="AJ32" s="125"/>
      <c r="AK32" s="125"/>
      <c r="AL32" s="131">
        <f t="shared" si="20"/>
        <v>8.5</v>
      </c>
      <c r="AM32" s="125">
        <f t="shared" si="21"/>
        <v>3342.7666666666664</v>
      </c>
      <c r="AN32" s="125"/>
      <c r="AO32" s="125">
        <f t="shared" si="28"/>
        <v>0</v>
      </c>
      <c r="AP32" s="125"/>
      <c r="AQ32" s="125">
        <f t="shared" si="53"/>
        <v>0</v>
      </c>
      <c r="AR32" s="131">
        <f t="shared" si="22"/>
        <v>0</v>
      </c>
      <c r="AS32" s="125">
        <f t="shared" si="23"/>
        <v>0</v>
      </c>
      <c r="AT32" s="125">
        <f t="shared" si="24"/>
        <v>8.5</v>
      </c>
      <c r="AU32" s="125">
        <f t="shared" si="46"/>
        <v>3342.7666666666664</v>
      </c>
      <c r="AV32" s="126">
        <v>1</v>
      </c>
      <c r="AW32" s="126">
        <v>1</v>
      </c>
      <c r="AX32" s="130"/>
      <c r="AY32" s="126"/>
      <c r="AZ32" s="125">
        <f>N31*50%</f>
        <v>8848.5</v>
      </c>
      <c r="BA32" s="129"/>
      <c r="BB32" s="129"/>
      <c r="BC32" s="126">
        <v>19</v>
      </c>
      <c r="BD32" s="125">
        <f>(AB32+AC32+AD32+AB73+AC73+AD73+AB75+AC75+AD75)*30%</f>
        <v>52012.589062499981</v>
      </c>
      <c r="BE32" s="125"/>
      <c r="BF32" s="132">
        <v>19</v>
      </c>
      <c r="BG32" s="125">
        <f>(AB32+AC32+AD32+AB73+AC73+AD73+AB75+AC75+AD75)*35%</f>
        <v>60681.353906249977</v>
      </c>
      <c r="BH32" s="125">
        <f>7079/18*19</f>
        <v>7472.2777777777774</v>
      </c>
      <c r="BI32" s="125"/>
      <c r="BJ32" s="125"/>
      <c r="BK32" s="120">
        <f>AG32+AU32+AZ32+BB32+BD32+BE32+BG32+BH32</f>
        <v>132357.48741319441</v>
      </c>
      <c r="BL32" s="120">
        <f t="shared" si="10"/>
        <v>302995.27960069443</v>
      </c>
      <c r="BM32" s="120">
        <f t="shared" si="11"/>
        <v>139916.90625</v>
      </c>
      <c r="BN32" s="120">
        <f t="shared" si="26"/>
        <v>163078.37335069443</v>
      </c>
      <c r="BO32" s="120">
        <f t="shared" si="27"/>
        <v>3635943.3552083331</v>
      </c>
    </row>
    <row r="33" spans="2:67" ht="15.75" customHeight="1" x14ac:dyDescent="0.25">
      <c r="B33" s="72" t="s">
        <v>246</v>
      </c>
      <c r="C33" s="74"/>
      <c r="D33" s="72" t="s">
        <v>194</v>
      </c>
      <c r="E33" s="72" t="s">
        <v>79</v>
      </c>
      <c r="F33" s="74">
        <v>30</v>
      </c>
      <c r="G33" s="72" t="s">
        <v>136</v>
      </c>
      <c r="H33" s="72" t="s">
        <v>137</v>
      </c>
      <c r="I33" s="72" t="s">
        <v>138</v>
      </c>
      <c r="J33" s="72" t="s">
        <v>106</v>
      </c>
      <c r="K33" s="74" t="s">
        <v>81</v>
      </c>
      <c r="L33" s="76">
        <v>32.049999999999997</v>
      </c>
      <c r="M33" s="76">
        <v>5.2</v>
      </c>
      <c r="N33" s="77">
        <v>17697</v>
      </c>
      <c r="O33" s="78">
        <f t="shared" si="0"/>
        <v>92024.400000000009</v>
      </c>
      <c r="P33" s="74"/>
      <c r="Q33" s="74">
        <v>12</v>
      </c>
      <c r="R33" s="74">
        <v>6</v>
      </c>
      <c r="S33" s="114"/>
      <c r="T33" s="114"/>
      <c r="U33" s="114"/>
      <c r="V33" s="78">
        <f t="shared" si="12"/>
        <v>0</v>
      </c>
      <c r="W33" s="78">
        <f t="shared" si="13"/>
        <v>61349.600000000006</v>
      </c>
      <c r="X33" s="78">
        <f t="shared" si="14"/>
        <v>30674.800000000003</v>
      </c>
      <c r="Y33" s="79"/>
      <c r="Z33" s="79"/>
      <c r="AA33" s="79"/>
      <c r="AB33" s="78">
        <f t="shared" si="15"/>
        <v>92024.400000000009</v>
      </c>
      <c r="AC33" s="78">
        <f t="shared" si="16"/>
        <v>46012.200000000004</v>
      </c>
      <c r="AD33" s="78">
        <f t="shared" si="17"/>
        <v>34509.15</v>
      </c>
      <c r="AE33" s="78">
        <f t="shared" si="18"/>
        <v>17254.575000000001</v>
      </c>
      <c r="AF33" s="78">
        <f t="shared" si="19"/>
        <v>189800.32500000001</v>
      </c>
      <c r="AG33" s="120"/>
      <c r="AH33" s="125"/>
      <c r="AI33" s="125">
        <f t="shared" si="47"/>
        <v>0</v>
      </c>
      <c r="AJ33" s="125"/>
      <c r="AK33" s="125">
        <f t="shared" ref="AK33:AK44" si="54">P33/18*2*40%</f>
        <v>0</v>
      </c>
      <c r="AL33" s="125">
        <f t="shared" si="20"/>
        <v>0</v>
      </c>
      <c r="AM33" s="125">
        <f t="shared" si="21"/>
        <v>0</v>
      </c>
      <c r="AN33" s="125"/>
      <c r="AO33" s="125">
        <f t="shared" si="28"/>
        <v>0</v>
      </c>
      <c r="AP33" s="125"/>
      <c r="AQ33" s="125">
        <f t="shared" si="53"/>
        <v>0</v>
      </c>
      <c r="AR33" s="131">
        <f t="shared" si="22"/>
        <v>0</v>
      </c>
      <c r="AS33" s="125">
        <f t="shared" si="23"/>
        <v>0</v>
      </c>
      <c r="AT33" s="125"/>
      <c r="AU33" s="125"/>
      <c r="AV33" s="126">
        <v>7</v>
      </c>
      <c r="AW33" s="126"/>
      <c r="AX33" s="130">
        <v>1</v>
      </c>
      <c r="AY33" s="126"/>
      <c r="AZ33" s="125">
        <f>N32*60%</f>
        <v>10618.199999999999</v>
      </c>
      <c r="BA33" s="129"/>
      <c r="BB33" s="129"/>
      <c r="BC33" s="126">
        <v>21</v>
      </c>
      <c r="BD33" s="125">
        <f>(AB33+AC33+AD33+AB74+AC74+AD74)*30%</f>
        <v>60391.012499999997</v>
      </c>
      <c r="BE33" s="125"/>
      <c r="BF33" s="125">
        <v>21</v>
      </c>
      <c r="BG33" s="125">
        <f>(AB33+AC33+AD33+AB74+AC74+AD74)*35%</f>
        <v>70456.181249999994</v>
      </c>
      <c r="BH33" s="125"/>
      <c r="BI33" s="125"/>
      <c r="BJ33" s="125">
        <v>17697</v>
      </c>
      <c r="BK33" s="120">
        <f>AG33+AU33+AZ33+BB33+BD33+BE33+BG33+BH33+BJ33</f>
        <v>159162.39374999999</v>
      </c>
      <c r="BL33" s="120">
        <f t="shared" si="10"/>
        <v>348962.71875</v>
      </c>
      <c r="BM33" s="120">
        <f t="shared" si="11"/>
        <v>158166.9375</v>
      </c>
      <c r="BN33" s="120">
        <f t="shared" si="26"/>
        <v>190795.78125</v>
      </c>
      <c r="BO33" s="120">
        <f t="shared" si="27"/>
        <v>4187552.625</v>
      </c>
    </row>
    <row r="34" spans="2:67" ht="15.75" customHeight="1" x14ac:dyDescent="0.25">
      <c r="B34" s="72" t="s">
        <v>246</v>
      </c>
      <c r="C34" s="74"/>
      <c r="D34" s="72" t="s">
        <v>223</v>
      </c>
      <c r="E34" s="72" t="s">
        <v>79</v>
      </c>
      <c r="F34" s="74"/>
      <c r="G34" s="72"/>
      <c r="H34" s="72"/>
      <c r="I34" s="72"/>
      <c r="J34" s="72" t="s">
        <v>156</v>
      </c>
      <c r="K34" s="74" t="s">
        <v>157</v>
      </c>
      <c r="L34" s="76">
        <v>40.049999999999997</v>
      </c>
      <c r="M34" s="76">
        <v>4.7300000000000004</v>
      </c>
      <c r="N34" s="77">
        <v>17697</v>
      </c>
      <c r="O34" s="78">
        <f t="shared" si="0"/>
        <v>83706.810000000012</v>
      </c>
      <c r="P34" s="74"/>
      <c r="Q34" s="74">
        <v>1.5</v>
      </c>
      <c r="R34" s="74"/>
      <c r="S34" s="114"/>
      <c r="T34" s="114"/>
      <c r="U34" s="114"/>
      <c r="V34" s="78"/>
      <c r="W34" s="78">
        <f t="shared" si="13"/>
        <v>6975.567500000001</v>
      </c>
      <c r="X34" s="78"/>
      <c r="Y34" s="79"/>
      <c r="Z34" s="79"/>
      <c r="AA34" s="79"/>
      <c r="AB34" s="78">
        <f t="shared" si="15"/>
        <v>6975.567500000001</v>
      </c>
      <c r="AC34" s="78">
        <f t="shared" si="16"/>
        <v>3487.7837500000005</v>
      </c>
      <c r="AD34" s="78">
        <f t="shared" ref="AD34:AD35" si="55">(AB34+AC34)*25%</f>
        <v>2615.8378125000004</v>
      </c>
      <c r="AE34" s="78">
        <f t="shared" ref="AE34:AE35" si="56">(AB34+AC34+AD34)*10%</f>
        <v>1307.9189062500002</v>
      </c>
      <c r="AF34" s="78">
        <f t="shared" ref="AF34:AF35" si="57">AB34+AC34+AD34+AE34</f>
        <v>14387.107968750002</v>
      </c>
      <c r="AG34" s="120"/>
      <c r="AH34" s="125"/>
      <c r="AI34" s="125"/>
      <c r="AJ34" s="125"/>
      <c r="AK34" s="125"/>
      <c r="AL34" s="125"/>
      <c r="AM34" s="125"/>
      <c r="AN34" s="131">
        <v>0.75</v>
      </c>
      <c r="AO34" s="125">
        <f>N34/18*AN34*50%</f>
        <v>368.6875</v>
      </c>
      <c r="AP34" s="125"/>
      <c r="AQ34" s="125"/>
      <c r="AR34" s="131" t="s">
        <v>227</v>
      </c>
      <c r="AS34" s="125">
        <f t="shared" si="23"/>
        <v>368.6875</v>
      </c>
      <c r="AT34" s="125" t="str">
        <f>AR34</f>
        <v>0,75</v>
      </c>
      <c r="AU34" s="125">
        <f>AS34</f>
        <v>368.6875</v>
      </c>
      <c r="AV34" s="126"/>
      <c r="AW34" s="126"/>
      <c r="AX34" s="130"/>
      <c r="AY34" s="126"/>
      <c r="AZ34" s="125"/>
      <c r="BA34" s="129"/>
      <c r="BB34" s="129"/>
      <c r="BC34" s="126">
        <v>1.5</v>
      </c>
      <c r="BD34" s="125">
        <f t="shared" si="52"/>
        <v>3923.7567187500003</v>
      </c>
      <c r="BE34" s="125"/>
      <c r="BF34" s="125"/>
      <c r="BG34" s="125"/>
      <c r="BH34" s="125"/>
      <c r="BI34" s="125"/>
      <c r="BJ34" s="125"/>
      <c r="BK34" s="120">
        <f t="shared" ref="BK34:BK44" si="58">AG34+AU34+AZ34+BB34+BD34+BE34+BG34+BH34</f>
        <v>4292.4442187500008</v>
      </c>
      <c r="BL34" s="120">
        <f t="shared" si="10"/>
        <v>18679.552187500005</v>
      </c>
      <c r="BM34" s="120">
        <f t="shared" si="11"/>
        <v>11335.2971875</v>
      </c>
      <c r="BN34" s="120">
        <f t="shared" si="26"/>
        <v>7344.2550000000047</v>
      </c>
      <c r="BO34" s="120">
        <f t="shared" si="27"/>
        <v>224154.62625000006</v>
      </c>
    </row>
    <row r="35" spans="2:67" ht="15.75" customHeight="1" x14ac:dyDescent="0.25">
      <c r="B35" s="72" t="s">
        <v>246</v>
      </c>
      <c r="C35" s="74"/>
      <c r="D35" s="72" t="s">
        <v>141</v>
      </c>
      <c r="E35" s="72" t="s">
        <v>79</v>
      </c>
      <c r="F35" s="74">
        <v>29</v>
      </c>
      <c r="G35" s="72" t="s">
        <v>136</v>
      </c>
      <c r="H35" s="72" t="s">
        <v>137</v>
      </c>
      <c r="I35" s="72" t="s">
        <v>101</v>
      </c>
      <c r="J35" s="72" t="s">
        <v>156</v>
      </c>
      <c r="K35" s="74" t="s">
        <v>157</v>
      </c>
      <c r="L35" s="76">
        <v>38.03</v>
      </c>
      <c r="M35" s="76">
        <v>4.7300000000000004</v>
      </c>
      <c r="N35" s="77">
        <v>17697</v>
      </c>
      <c r="O35" s="78">
        <f t="shared" ref="O35" si="59">SUM(N35*M35)</f>
        <v>83706.810000000012</v>
      </c>
      <c r="P35" s="74"/>
      <c r="Q35" s="74">
        <v>1.5</v>
      </c>
      <c r="R35" s="74"/>
      <c r="S35" s="114"/>
      <c r="T35" s="114"/>
      <c r="U35" s="114"/>
      <c r="V35" s="78"/>
      <c r="W35" s="78">
        <f t="shared" si="13"/>
        <v>6975.567500000001</v>
      </c>
      <c r="X35" s="78"/>
      <c r="Y35" s="79"/>
      <c r="Z35" s="79"/>
      <c r="AA35" s="79"/>
      <c r="AB35" s="78">
        <f t="shared" si="15"/>
        <v>6975.567500000001</v>
      </c>
      <c r="AC35" s="78">
        <f t="shared" si="16"/>
        <v>3487.7837500000005</v>
      </c>
      <c r="AD35" s="78">
        <f t="shared" si="55"/>
        <v>2615.8378125000004</v>
      </c>
      <c r="AE35" s="78">
        <f t="shared" si="56"/>
        <v>1307.9189062500002</v>
      </c>
      <c r="AF35" s="78">
        <f t="shared" si="57"/>
        <v>14387.107968750002</v>
      </c>
      <c r="AG35" s="120"/>
      <c r="AH35" s="125"/>
      <c r="AI35" s="125"/>
      <c r="AJ35" s="125"/>
      <c r="AK35" s="125"/>
      <c r="AL35" s="125"/>
      <c r="AM35" s="125"/>
      <c r="AN35" s="131">
        <v>0.75</v>
      </c>
      <c r="AO35" s="125">
        <f>N35/18*AN35*50%</f>
        <v>368.6875</v>
      </c>
      <c r="AP35" s="125"/>
      <c r="AQ35" s="125"/>
      <c r="AR35" s="131" t="s">
        <v>227</v>
      </c>
      <c r="AS35" s="125">
        <f t="shared" si="23"/>
        <v>368.6875</v>
      </c>
      <c r="AT35" s="125" t="str">
        <f>AR35</f>
        <v>0,75</v>
      </c>
      <c r="AU35" s="125">
        <f>AS35</f>
        <v>368.6875</v>
      </c>
      <c r="AV35" s="126"/>
      <c r="AW35" s="126"/>
      <c r="AX35" s="130"/>
      <c r="AY35" s="126"/>
      <c r="AZ35" s="125"/>
      <c r="BA35" s="129"/>
      <c r="BB35" s="129"/>
      <c r="BC35" s="126">
        <v>1.5</v>
      </c>
      <c r="BD35" s="125">
        <f t="shared" si="52"/>
        <v>3923.7567187500003</v>
      </c>
      <c r="BE35" s="125"/>
      <c r="BF35" s="125"/>
      <c r="BG35" s="125"/>
      <c r="BH35" s="125"/>
      <c r="BI35" s="125"/>
      <c r="BJ35" s="125"/>
      <c r="BK35" s="120">
        <f t="shared" si="58"/>
        <v>4292.4442187500008</v>
      </c>
      <c r="BL35" s="120">
        <f t="shared" si="10"/>
        <v>18679.552187500005</v>
      </c>
      <c r="BM35" s="120">
        <f t="shared" si="11"/>
        <v>11335.2971875</v>
      </c>
      <c r="BN35" s="120">
        <f t="shared" si="26"/>
        <v>7344.2550000000047</v>
      </c>
      <c r="BO35" s="120">
        <f t="shared" si="27"/>
        <v>224154.62625000006</v>
      </c>
    </row>
    <row r="36" spans="2:67" ht="15.75" customHeight="1" x14ac:dyDescent="0.25">
      <c r="B36" s="72" t="s">
        <v>246</v>
      </c>
      <c r="C36" s="74"/>
      <c r="D36" s="72" t="s">
        <v>141</v>
      </c>
      <c r="E36" s="72" t="s">
        <v>79</v>
      </c>
      <c r="F36" s="74">
        <v>29</v>
      </c>
      <c r="G36" s="72" t="s">
        <v>136</v>
      </c>
      <c r="H36" s="72" t="s">
        <v>137</v>
      </c>
      <c r="I36" s="72" t="s">
        <v>101</v>
      </c>
      <c r="J36" s="72" t="s">
        <v>79</v>
      </c>
      <c r="K36" s="74" t="s">
        <v>87</v>
      </c>
      <c r="L36" s="76">
        <v>38.03</v>
      </c>
      <c r="M36" s="76">
        <v>5.41</v>
      </c>
      <c r="N36" s="77">
        <v>17697</v>
      </c>
      <c r="O36" s="78">
        <f t="shared" si="0"/>
        <v>95740.77</v>
      </c>
      <c r="P36" s="79">
        <v>12</v>
      </c>
      <c r="Q36" s="74"/>
      <c r="R36" s="74"/>
      <c r="S36" s="114"/>
      <c r="T36" s="81"/>
      <c r="U36" s="114"/>
      <c r="V36" s="78">
        <f t="shared" si="12"/>
        <v>63827.180000000008</v>
      </c>
      <c r="W36" s="78">
        <f t="shared" si="13"/>
        <v>0</v>
      </c>
      <c r="X36" s="78">
        <f t="shared" si="14"/>
        <v>0</v>
      </c>
      <c r="Y36" s="79"/>
      <c r="Z36" s="79"/>
      <c r="AA36" s="79"/>
      <c r="AB36" s="78">
        <f t="shared" si="15"/>
        <v>63827.180000000008</v>
      </c>
      <c r="AC36" s="78">
        <f t="shared" si="16"/>
        <v>31913.590000000004</v>
      </c>
      <c r="AD36" s="78">
        <f t="shared" si="17"/>
        <v>23935.192500000005</v>
      </c>
      <c r="AE36" s="78">
        <f t="shared" si="18"/>
        <v>11967.596250000002</v>
      </c>
      <c r="AF36" s="78">
        <f t="shared" si="19"/>
        <v>131643.55875000003</v>
      </c>
      <c r="AG36" s="120"/>
      <c r="AH36" s="130">
        <v>6</v>
      </c>
      <c r="AI36" s="125">
        <f t="shared" si="47"/>
        <v>2359.6</v>
      </c>
      <c r="AJ36" s="125"/>
      <c r="AK36" s="125"/>
      <c r="AL36" s="125">
        <f t="shared" si="20"/>
        <v>6</v>
      </c>
      <c r="AM36" s="125">
        <f t="shared" si="21"/>
        <v>2359.6</v>
      </c>
      <c r="AN36" s="125"/>
      <c r="AO36" s="125">
        <f t="shared" si="28"/>
        <v>0</v>
      </c>
      <c r="AP36" s="125"/>
      <c r="AQ36" s="125">
        <f t="shared" si="53"/>
        <v>0</v>
      </c>
      <c r="AR36" s="131">
        <f t="shared" si="22"/>
        <v>0</v>
      </c>
      <c r="AS36" s="125">
        <f t="shared" si="23"/>
        <v>0</v>
      </c>
      <c r="AT36" s="125">
        <f t="shared" si="24"/>
        <v>6</v>
      </c>
      <c r="AU36" s="125">
        <f t="shared" si="46"/>
        <v>2359.6</v>
      </c>
      <c r="AV36" s="126"/>
      <c r="AW36" s="126"/>
      <c r="AX36" s="130"/>
      <c r="AY36" s="126"/>
      <c r="AZ36" s="125"/>
      <c r="BA36" s="129"/>
      <c r="BB36" s="129"/>
      <c r="BC36" s="126">
        <v>14</v>
      </c>
      <c r="BD36" s="125">
        <f>(AB36+AC36+AD36+AB51+AC51+AD51)*30%</f>
        <v>41886.586875000015</v>
      </c>
      <c r="BE36" s="125"/>
      <c r="BF36" s="125"/>
      <c r="BG36" s="125"/>
      <c r="BH36" s="125">
        <f>7079/18*2</f>
        <v>786.55555555555554</v>
      </c>
      <c r="BI36" s="125"/>
      <c r="BJ36" s="125"/>
      <c r="BK36" s="120">
        <f t="shared" si="58"/>
        <v>45032.742430555569</v>
      </c>
      <c r="BL36" s="120">
        <f t="shared" si="10"/>
        <v>176676.3011805556</v>
      </c>
      <c r="BM36" s="120">
        <f t="shared" si="11"/>
        <v>109702.96562500001</v>
      </c>
      <c r="BN36" s="120">
        <f t="shared" si="26"/>
        <v>66973.33555555559</v>
      </c>
      <c r="BO36" s="120">
        <f t="shared" si="27"/>
        <v>2120115.6141666672</v>
      </c>
    </row>
    <row r="37" spans="2:67" ht="15.75" customHeight="1" x14ac:dyDescent="0.25">
      <c r="B37" s="72" t="s">
        <v>246</v>
      </c>
      <c r="C37" s="74"/>
      <c r="D37" s="72" t="s">
        <v>219</v>
      </c>
      <c r="E37" s="72" t="s">
        <v>79</v>
      </c>
      <c r="F37" s="74">
        <v>54</v>
      </c>
      <c r="G37" s="75">
        <v>43453</v>
      </c>
      <c r="H37" s="75">
        <v>45279</v>
      </c>
      <c r="I37" s="72" t="s">
        <v>143</v>
      </c>
      <c r="J37" s="72" t="s">
        <v>156</v>
      </c>
      <c r="K37" s="74" t="s">
        <v>81</v>
      </c>
      <c r="L37" s="109">
        <v>8.0500000000000007</v>
      </c>
      <c r="M37" s="76">
        <v>4.79</v>
      </c>
      <c r="N37" s="77">
        <v>17697</v>
      </c>
      <c r="O37" s="78">
        <f t="shared" ref="O37" si="60">SUM(N37*M37)</f>
        <v>84768.63</v>
      </c>
      <c r="P37" s="79"/>
      <c r="Q37" s="74"/>
      <c r="R37" s="74"/>
      <c r="S37" s="114"/>
      <c r="T37" s="81"/>
      <c r="U37" s="114"/>
      <c r="V37" s="78"/>
      <c r="W37" s="78"/>
      <c r="X37" s="78">
        <f t="shared" si="14"/>
        <v>0</v>
      </c>
      <c r="Y37" s="79"/>
      <c r="Z37" s="79"/>
      <c r="AA37" s="79"/>
      <c r="AB37" s="78">
        <f t="shared" si="15"/>
        <v>0</v>
      </c>
      <c r="AC37" s="78">
        <f t="shared" si="16"/>
        <v>0</v>
      </c>
      <c r="AD37" s="78">
        <f t="shared" si="17"/>
        <v>0</v>
      </c>
      <c r="AE37" s="78">
        <f t="shared" si="18"/>
        <v>0</v>
      </c>
      <c r="AF37" s="78">
        <f t="shared" si="19"/>
        <v>0</v>
      </c>
      <c r="AG37" s="120"/>
      <c r="AH37" s="130"/>
      <c r="AI37" s="125"/>
      <c r="AJ37" s="125"/>
      <c r="AK37" s="125"/>
      <c r="AL37" s="125"/>
      <c r="AM37" s="125"/>
      <c r="AN37" s="125"/>
      <c r="AO37" s="125">
        <f>N37/18*AN37*50%</f>
        <v>0</v>
      </c>
      <c r="AP37" s="125"/>
      <c r="AQ37" s="125"/>
      <c r="AR37" s="131"/>
      <c r="AS37" s="125">
        <f t="shared" si="23"/>
        <v>0</v>
      </c>
      <c r="AT37" s="125"/>
      <c r="AU37" s="125"/>
      <c r="AV37" s="126">
        <v>0</v>
      </c>
      <c r="AW37" s="133"/>
      <c r="AX37" s="130"/>
      <c r="AY37" s="126"/>
      <c r="AZ37" s="125"/>
      <c r="BA37" s="129"/>
      <c r="BB37" s="129"/>
      <c r="BC37" s="126"/>
      <c r="BD37" s="125">
        <f t="shared" si="52"/>
        <v>0</v>
      </c>
      <c r="BE37" s="125"/>
      <c r="BF37" s="125"/>
      <c r="BG37" s="125"/>
      <c r="BH37" s="125"/>
      <c r="BI37" s="125"/>
      <c r="BJ37" s="125"/>
      <c r="BK37" s="120">
        <f t="shared" si="58"/>
        <v>0</v>
      </c>
      <c r="BL37" s="120">
        <f t="shared" si="10"/>
        <v>0</v>
      </c>
      <c r="BM37" s="120">
        <f t="shared" si="11"/>
        <v>0</v>
      </c>
      <c r="BN37" s="120">
        <f t="shared" si="26"/>
        <v>0</v>
      </c>
      <c r="BO37" s="120">
        <f t="shared" si="27"/>
        <v>0</v>
      </c>
    </row>
    <row r="38" spans="2:67" ht="15.75" customHeight="1" x14ac:dyDescent="0.25">
      <c r="B38" s="72" t="s">
        <v>246</v>
      </c>
      <c r="C38" s="74"/>
      <c r="D38" s="72" t="s">
        <v>219</v>
      </c>
      <c r="E38" s="72" t="s">
        <v>79</v>
      </c>
      <c r="F38" s="74">
        <v>54</v>
      </c>
      <c r="G38" s="75">
        <v>43453</v>
      </c>
      <c r="H38" s="75">
        <v>45279</v>
      </c>
      <c r="I38" s="72" t="s">
        <v>143</v>
      </c>
      <c r="J38" s="72" t="s">
        <v>156</v>
      </c>
      <c r="K38" s="74" t="s">
        <v>81</v>
      </c>
      <c r="L38" s="109">
        <v>8.0500000000000007</v>
      </c>
      <c r="M38" s="76">
        <v>4.79</v>
      </c>
      <c r="N38" s="77">
        <v>17697</v>
      </c>
      <c r="O38" s="78">
        <f t="shared" si="0"/>
        <v>84768.63</v>
      </c>
      <c r="P38" s="74"/>
      <c r="Q38" s="122"/>
      <c r="R38" s="122"/>
      <c r="S38" s="114"/>
      <c r="T38" s="114"/>
      <c r="U38" s="114"/>
      <c r="V38" s="78">
        <f t="shared" si="12"/>
        <v>0</v>
      </c>
      <c r="W38" s="78">
        <f t="shared" si="13"/>
        <v>0</v>
      </c>
      <c r="X38" s="78">
        <f t="shared" si="14"/>
        <v>0</v>
      </c>
      <c r="Y38" s="79"/>
      <c r="Z38" s="79"/>
      <c r="AA38" s="79"/>
      <c r="AB38" s="78">
        <f t="shared" si="15"/>
        <v>0</v>
      </c>
      <c r="AC38" s="78">
        <f t="shared" si="16"/>
        <v>0</v>
      </c>
      <c r="AD38" s="78">
        <f t="shared" si="17"/>
        <v>0</v>
      </c>
      <c r="AE38" s="78">
        <f t="shared" si="18"/>
        <v>0</v>
      </c>
      <c r="AF38" s="78">
        <f t="shared" si="19"/>
        <v>0</v>
      </c>
      <c r="AG38" s="120"/>
      <c r="AH38" s="125"/>
      <c r="AI38" s="125">
        <f t="shared" si="47"/>
        <v>0</v>
      </c>
      <c r="AJ38" s="125"/>
      <c r="AK38" s="125">
        <f t="shared" si="54"/>
        <v>0</v>
      </c>
      <c r="AL38" s="125">
        <f t="shared" si="20"/>
        <v>0</v>
      </c>
      <c r="AM38" s="125">
        <f t="shared" si="21"/>
        <v>0</v>
      </c>
      <c r="AN38" s="130"/>
      <c r="AO38" s="125">
        <f>N38/18*AN38*50%</f>
        <v>0</v>
      </c>
      <c r="AP38" s="125"/>
      <c r="AQ38" s="125">
        <f t="shared" si="53"/>
        <v>0</v>
      </c>
      <c r="AR38" s="131">
        <f t="shared" si="22"/>
        <v>0</v>
      </c>
      <c r="AS38" s="125">
        <f t="shared" si="23"/>
        <v>0</v>
      </c>
      <c r="AT38" s="131"/>
      <c r="AU38" s="125"/>
      <c r="AV38" s="126"/>
      <c r="AW38" s="133"/>
      <c r="AX38" s="130"/>
      <c r="AY38" s="126"/>
      <c r="AZ38" s="125"/>
      <c r="BA38" s="129"/>
      <c r="BB38" s="129"/>
      <c r="BC38" s="126"/>
      <c r="BD38" s="125">
        <f t="shared" si="52"/>
        <v>0</v>
      </c>
      <c r="BE38" s="125"/>
      <c r="BF38" s="125"/>
      <c r="BG38" s="125"/>
      <c r="BH38" s="125"/>
      <c r="BI38" s="125"/>
      <c r="BJ38" s="125"/>
      <c r="BK38" s="120">
        <f t="shared" si="58"/>
        <v>0</v>
      </c>
      <c r="BL38" s="120">
        <f t="shared" si="10"/>
        <v>0</v>
      </c>
      <c r="BM38" s="120">
        <f t="shared" si="11"/>
        <v>0</v>
      </c>
      <c r="BN38" s="120">
        <f t="shared" si="26"/>
        <v>0</v>
      </c>
      <c r="BO38" s="120">
        <f t="shared" si="27"/>
        <v>0</v>
      </c>
    </row>
    <row r="39" spans="2:67" ht="15.75" customHeight="1" x14ac:dyDescent="0.25">
      <c r="B39" s="72" t="s">
        <v>246</v>
      </c>
      <c r="C39" s="74"/>
      <c r="D39" s="72" t="s">
        <v>199</v>
      </c>
      <c r="E39" s="72" t="s">
        <v>79</v>
      </c>
      <c r="F39" s="74">
        <v>14</v>
      </c>
      <c r="G39" s="75">
        <v>42823</v>
      </c>
      <c r="H39" s="75">
        <v>44740</v>
      </c>
      <c r="I39" s="72" t="s">
        <v>101</v>
      </c>
      <c r="J39" s="72" t="s">
        <v>156</v>
      </c>
      <c r="K39" s="74" t="s">
        <v>157</v>
      </c>
      <c r="L39" s="76">
        <v>9.01</v>
      </c>
      <c r="M39" s="76">
        <v>4.33</v>
      </c>
      <c r="N39" s="77">
        <v>17697</v>
      </c>
      <c r="O39" s="78">
        <f t="shared" si="0"/>
        <v>76628.009999999995</v>
      </c>
      <c r="P39" s="74">
        <v>17</v>
      </c>
      <c r="Q39" s="74"/>
      <c r="R39" s="74"/>
      <c r="S39" s="114"/>
      <c r="T39" s="114"/>
      <c r="U39" s="114"/>
      <c r="V39" s="78">
        <f t="shared" si="12"/>
        <v>72370.898333333331</v>
      </c>
      <c r="W39" s="78">
        <f t="shared" si="13"/>
        <v>0</v>
      </c>
      <c r="X39" s="78">
        <f t="shared" si="14"/>
        <v>0</v>
      </c>
      <c r="Y39" s="78"/>
      <c r="Z39" s="78"/>
      <c r="AA39" s="78"/>
      <c r="AB39" s="78">
        <f t="shared" si="15"/>
        <v>72370.898333333331</v>
      </c>
      <c r="AC39" s="78">
        <f t="shared" si="16"/>
        <v>36185.449166666665</v>
      </c>
      <c r="AD39" s="78">
        <f t="shared" si="17"/>
        <v>27139.086875000001</v>
      </c>
      <c r="AE39" s="78">
        <f t="shared" si="18"/>
        <v>13569.543437500002</v>
      </c>
      <c r="AF39" s="78">
        <f t="shared" si="19"/>
        <v>149264.9778125</v>
      </c>
      <c r="AG39" s="125"/>
      <c r="AH39" s="131">
        <v>8.5</v>
      </c>
      <c r="AI39" s="125">
        <f t="shared" si="47"/>
        <v>3342.7666666666664</v>
      </c>
      <c r="AJ39" s="125"/>
      <c r="AK39" s="125"/>
      <c r="AL39" s="131">
        <f t="shared" si="20"/>
        <v>8.5</v>
      </c>
      <c r="AM39" s="125">
        <f t="shared" si="21"/>
        <v>3342.7666666666664</v>
      </c>
      <c r="AN39" s="125"/>
      <c r="AO39" s="125">
        <f t="shared" si="28"/>
        <v>0</v>
      </c>
      <c r="AP39" s="125"/>
      <c r="AQ39" s="125">
        <f t="shared" si="53"/>
        <v>0</v>
      </c>
      <c r="AR39" s="131">
        <f t="shared" si="22"/>
        <v>0</v>
      </c>
      <c r="AS39" s="125">
        <f t="shared" si="23"/>
        <v>0</v>
      </c>
      <c r="AT39" s="131">
        <f t="shared" si="24"/>
        <v>8.5</v>
      </c>
      <c r="AU39" s="125">
        <f t="shared" si="46"/>
        <v>3342.7666666666664</v>
      </c>
      <c r="AV39" s="126">
        <v>4</v>
      </c>
      <c r="AW39" s="126">
        <v>1</v>
      </c>
      <c r="AX39" s="130"/>
      <c r="AY39" s="126"/>
      <c r="AZ39" s="125">
        <f>N38*50%</f>
        <v>8848.5</v>
      </c>
      <c r="BA39" s="126"/>
      <c r="BB39" s="129"/>
      <c r="BC39" s="126">
        <v>19</v>
      </c>
      <c r="BD39" s="125">
        <f>(AB39+AC39+AD39+AB68+AC68+AD68+AB69+AC69+AD69)*30%</f>
        <v>45497.880937500006</v>
      </c>
      <c r="BE39" s="126"/>
      <c r="BF39" s="126"/>
      <c r="BG39" s="125"/>
      <c r="BH39" s="125"/>
      <c r="BI39" s="126"/>
      <c r="BJ39" s="126"/>
      <c r="BK39" s="120">
        <f t="shared" si="58"/>
        <v>57689.147604166676</v>
      </c>
      <c r="BL39" s="120">
        <f t="shared" si="10"/>
        <v>206954.12541666668</v>
      </c>
      <c r="BM39" s="120">
        <f t="shared" si="11"/>
        <v>122391.96041666667</v>
      </c>
      <c r="BN39" s="120">
        <f t="shared" si="26"/>
        <v>84562.165000000008</v>
      </c>
      <c r="BO39" s="120">
        <f t="shared" si="27"/>
        <v>2483449.5049999999</v>
      </c>
    </row>
    <row r="40" spans="2:67" ht="15.75" customHeight="1" x14ac:dyDescent="0.25">
      <c r="B40" s="72" t="s">
        <v>246</v>
      </c>
      <c r="C40" s="74"/>
      <c r="D40" s="72" t="s">
        <v>146</v>
      </c>
      <c r="E40" s="72" t="s">
        <v>79</v>
      </c>
      <c r="F40" s="74">
        <v>25</v>
      </c>
      <c r="G40" s="75">
        <v>43831</v>
      </c>
      <c r="H40" s="75">
        <v>45658</v>
      </c>
      <c r="I40" s="87" t="s">
        <v>147</v>
      </c>
      <c r="J40" s="72" t="s">
        <v>106</v>
      </c>
      <c r="K40" s="74" t="s">
        <v>81</v>
      </c>
      <c r="L40" s="76">
        <v>8.0500000000000007</v>
      </c>
      <c r="M40" s="76">
        <v>4.79</v>
      </c>
      <c r="N40" s="77">
        <v>17697</v>
      </c>
      <c r="O40" s="78">
        <f t="shared" si="0"/>
        <v>84768.63</v>
      </c>
      <c r="P40" s="74">
        <v>4</v>
      </c>
      <c r="Q40" s="74">
        <v>4</v>
      </c>
      <c r="R40" s="74">
        <v>2</v>
      </c>
      <c r="S40" s="114"/>
      <c r="T40" s="114"/>
      <c r="U40" s="114"/>
      <c r="V40" s="78">
        <f t="shared" si="12"/>
        <v>18837.473333333335</v>
      </c>
      <c r="W40" s="78">
        <f t="shared" si="13"/>
        <v>18837.473333333335</v>
      </c>
      <c r="X40" s="78">
        <f t="shared" si="14"/>
        <v>9418.7366666666676</v>
      </c>
      <c r="Y40" s="79"/>
      <c r="Z40" s="79"/>
      <c r="AA40" s="79"/>
      <c r="AB40" s="78">
        <f t="shared" si="15"/>
        <v>47093.683333333334</v>
      </c>
      <c r="AC40" s="78">
        <f t="shared" si="16"/>
        <v>23546.841666666667</v>
      </c>
      <c r="AD40" s="78">
        <f t="shared" si="17"/>
        <v>17660.131249999999</v>
      </c>
      <c r="AE40" s="78">
        <f t="shared" si="18"/>
        <v>8830.0656250000011</v>
      </c>
      <c r="AF40" s="78">
        <f t="shared" si="19"/>
        <v>97130.721875000003</v>
      </c>
      <c r="AG40" s="120"/>
      <c r="AH40" s="125"/>
      <c r="AI40" s="125">
        <f t="shared" si="47"/>
        <v>0</v>
      </c>
      <c r="AJ40" s="125"/>
      <c r="AK40" s="125">
        <f t="shared" si="54"/>
        <v>0.17777777777777778</v>
      </c>
      <c r="AL40" s="125">
        <f t="shared" si="20"/>
        <v>0</v>
      </c>
      <c r="AM40" s="125">
        <f t="shared" si="21"/>
        <v>0.17777777777777778</v>
      </c>
      <c r="AN40" s="125"/>
      <c r="AO40" s="125">
        <f t="shared" si="28"/>
        <v>0</v>
      </c>
      <c r="AP40" s="125"/>
      <c r="AQ40" s="125">
        <f t="shared" si="53"/>
        <v>0</v>
      </c>
      <c r="AR40" s="131">
        <f t="shared" si="22"/>
        <v>0</v>
      </c>
      <c r="AS40" s="125">
        <f t="shared" si="23"/>
        <v>0</v>
      </c>
      <c r="AT40" s="125"/>
      <c r="AU40" s="125"/>
      <c r="AV40" s="126">
        <v>8</v>
      </c>
      <c r="AW40" s="126"/>
      <c r="AX40" s="130">
        <v>0.5</v>
      </c>
      <c r="AY40" s="126"/>
      <c r="AZ40" s="125">
        <f>N39*60%</f>
        <v>10618.199999999999</v>
      </c>
      <c r="BA40" s="129"/>
      <c r="BB40" s="129"/>
      <c r="BC40" s="126">
        <v>10</v>
      </c>
      <c r="BD40" s="125">
        <f>(AB40+AC40+AD40)*30%</f>
        <v>26490.196874999998</v>
      </c>
      <c r="BE40" s="125"/>
      <c r="BF40" s="125">
        <v>10</v>
      </c>
      <c r="BG40" s="125">
        <f>(AB40+AC40+AD40)*35%</f>
        <v>30905.229687499999</v>
      </c>
      <c r="BH40" s="125">
        <f>7079/18*4</f>
        <v>1573.1111111111111</v>
      </c>
      <c r="BI40" s="126"/>
      <c r="BJ40" s="126"/>
      <c r="BK40" s="120">
        <f t="shared" si="58"/>
        <v>69586.737673611104</v>
      </c>
      <c r="BL40" s="120">
        <f t="shared" si="10"/>
        <v>166717.45954861111</v>
      </c>
      <c r="BM40" s="120">
        <f t="shared" si="11"/>
        <v>76527.235416666663</v>
      </c>
      <c r="BN40" s="120">
        <f t="shared" si="26"/>
        <v>90190.224131944444</v>
      </c>
      <c r="BO40" s="120">
        <f t="shared" si="27"/>
        <v>2000609.5145833334</v>
      </c>
    </row>
    <row r="41" spans="2:67" ht="15.75" customHeight="1" x14ac:dyDescent="0.25">
      <c r="B41" s="72" t="s">
        <v>246</v>
      </c>
      <c r="C41" s="74"/>
      <c r="D41" s="72" t="s">
        <v>151</v>
      </c>
      <c r="E41" s="72" t="s">
        <v>79</v>
      </c>
      <c r="F41" s="74">
        <v>27</v>
      </c>
      <c r="G41" s="75">
        <v>42119</v>
      </c>
      <c r="H41" s="75">
        <v>43946</v>
      </c>
      <c r="I41" s="72" t="s">
        <v>114</v>
      </c>
      <c r="J41" s="72" t="s">
        <v>235</v>
      </c>
      <c r="K41" s="74" t="s">
        <v>148</v>
      </c>
      <c r="L41" s="76">
        <v>16.010000000000002</v>
      </c>
      <c r="M41" s="76">
        <v>4.99</v>
      </c>
      <c r="N41" s="77">
        <v>17697</v>
      </c>
      <c r="O41" s="78">
        <f>SUM(N41*M41)</f>
        <v>88308.03</v>
      </c>
      <c r="P41" s="74"/>
      <c r="Q41" s="74">
        <v>2.5</v>
      </c>
      <c r="R41" s="74">
        <v>6</v>
      </c>
      <c r="S41" s="114"/>
      <c r="T41" s="114"/>
      <c r="U41" s="114"/>
      <c r="V41" s="78">
        <f t="shared" si="12"/>
        <v>0</v>
      </c>
      <c r="W41" s="78">
        <f t="shared" si="13"/>
        <v>12265.004166666668</v>
      </c>
      <c r="X41" s="78">
        <f t="shared" si="14"/>
        <v>29436.010000000002</v>
      </c>
      <c r="Y41" s="79"/>
      <c r="Z41" s="79"/>
      <c r="AA41" s="79"/>
      <c r="AB41" s="78">
        <f t="shared" si="15"/>
        <v>41701.014166666668</v>
      </c>
      <c r="AC41" s="78">
        <f t="shared" si="16"/>
        <v>20850.507083333334</v>
      </c>
      <c r="AD41" s="78">
        <f t="shared" si="17"/>
        <v>15637.880312500001</v>
      </c>
      <c r="AE41" s="78">
        <f t="shared" si="18"/>
        <v>7818.9401562500007</v>
      </c>
      <c r="AF41" s="78">
        <f t="shared" si="19"/>
        <v>86008.341718750002</v>
      </c>
      <c r="AG41" s="120"/>
      <c r="AH41" s="125"/>
      <c r="AI41" s="125">
        <f t="shared" si="47"/>
        <v>0</v>
      </c>
      <c r="AJ41" s="125"/>
      <c r="AK41" s="125">
        <f t="shared" si="54"/>
        <v>0</v>
      </c>
      <c r="AL41" s="125">
        <f t="shared" si="20"/>
        <v>0</v>
      </c>
      <c r="AM41" s="125">
        <f t="shared" si="21"/>
        <v>0</v>
      </c>
      <c r="AN41" s="125"/>
      <c r="AO41" s="125">
        <f t="shared" si="28"/>
        <v>0</v>
      </c>
      <c r="AP41" s="131" t="s">
        <v>225</v>
      </c>
      <c r="AQ41" s="125">
        <f t="shared" si="53"/>
        <v>1671.3833333333332</v>
      </c>
      <c r="AR41" s="131">
        <f t="shared" si="22"/>
        <v>4.25</v>
      </c>
      <c r="AS41" s="125">
        <f t="shared" si="23"/>
        <v>1671.3833333333332</v>
      </c>
      <c r="AT41" s="125">
        <v>4.25</v>
      </c>
      <c r="AU41" s="125">
        <f t="shared" si="46"/>
        <v>1671.3833333333332</v>
      </c>
      <c r="AV41" s="126"/>
      <c r="AW41" s="126"/>
      <c r="AX41" s="130"/>
      <c r="AY41" s="126"/>
      <c r="AZ41" s="125"/>
      <c r="BA41" s="129"/>
      <c r="BB41" s="129"/>
      <c r="BC41" s="126">
        <v>9.5</v>
      </c>
      <c r="BD41" s="125">
        <f>(AB41+AC41+AD41+AB63+AC63+AD63)*30%</f>
        <v>26216.446406250001</v>
      </c>
      <c r="BE41" s="125"/>
      <c r="BF41" s="130">
        <v>9.5</v>
      </c>
      <c r="BG41" s="125">
        <f>(AB41+AC41+AD41+AB63+AC63+AD63)*30%</f>
        <v>26216.446406250001</v>
      </c>
      <c r="BH41" s="126"/>
      <c r="BI41" s="126"/>
      <c r="BJ41" s="126"/>
      <c r="BK41" s="120">
        <f t="shared" si="58"/>
        <v>54104.276145833341</v>
      </c>
      <c r="BL41" s="120">
        <f t="shared" si="10"/>
        <v>140112.61786458333</v>
      </c>
      <c r="BM41" s="120">
        <f t="shared" si="11"/>
        <v>70523.773958333331</v>
      </c>
      <c r="BN41" s="120">
        <f t="shared" si="26"/>
        <v>69588.843906249997</v>
      </c>
      <c r="BO41" s="120">
        <f t="shared" si="27"/>
        <v>1681351.4143749999</v>
      </c>
    </row>
    <row r="42" spans="2:67" ht="15.75" customHeight="1" x14ac:dyDescent="0.25">
      <c r="B42" s="72" t="s">
        <v>246</v>
      </c>
      <c r="C42" s="73"/>
      <c r="D42" s="72" t="s">
        <v>151</v>
      </c>
      <c r="E42" s="72" t="s">
        <v>79</v>
      </c>
      <c r="F42" s="74">
        <v>33</v>
      </c>
      <c r="G42" s="75">
        <v>42529</v>
      </c>
      <c r="H42" s="75">
        <v>44355</v>
      </c>
      <c r="I42" s="72" t="s">
        <v>152</v>
      </c>
      <c r="J42" s="72" t="s">
        <v>235</v>
      </c>
      <c r="K42" s="74" t="s">
        <v>148</v>
      </c>
      <c r="L42" s="76">
        <v>16.010000000000002</v>
      </c>
      <c r="M42" s="76">
        <v>4.99</v>
      </c>
      <c r="N42" s="77">
        <v>17697</v>
      </c>
      <c r="O42" s="78">
        <f t="shared" si="0"/>
        <v>88308.03</v>
      </c>
      <c r="P42" s="74"/>
      <c r="Q42" s="74">
        <v>6</v>
      </c>
      <c r="R42" s="74">
        <v>4</v>
      </c>
      <c r="S42" s="114"/>
      <c r="T42" s="114"/>
      <c r="U42" s="114"/>
      <c r="V42" s="78">
        <f t="shared" si="12"/>
        <v>0</v>
      </c>
      <c r="W42" s="78">
        <f t="shared" si="13"/>
        <v>29436.010000000002</v>
      </c>
      <c r="X42" s="78">
        <f t="shared" si="14"/>
        <v>19624.006666666668</v>
      </c>
      <c r="Y42" s="79"/>
      <c r="Z42" s="79"/>
      <c r="AA42" s="79"/>
      <c r="AB42" s="78">
        <f t="shared" si="15"/>
        <v>49060.01666666667</v>
      </c>
      <c r="AC42" s="78">
        <f t="shared" si="16"/>
        <v>24530.008333333335</v>
      </c>
      <c r="AD42" s="78">
        <f t="shared" si="17"/>
        <v>18397.506250000002</v>
      </c>
      <c r="AE42" s="78">
        <f t="shared" si="18"/>
        <v>9198.7531250000011</v>
      </c>
      <c r="AF42" s="78">
        <f t="shared" si="19"/>
        <v>101186.28437500002</v>
      </c>
      <c r="AG42" s="120"/>
      <c r="AH42" s="125"/>
      <c r="AI42" s="125">
        <f t="shared" si="47"/>
        <v>0</v>
      </c>
      <c r="AJ42" s="125"/>
      <c r="AK42" s="125">
        <f t="shared" si="54"/>
        <v>0</v>
      </c>
      <c r="AL42" s="125">
        <f t="shared" si="20"/>
        <v>0</v>
      </c>
      <c r="AM42" s="125">
        <f t="shared" si="21"/>
        <v>0</v>
      </c>
      <c r="AN42" s="125"/>
      <c r="AO42" s="125">
        <f t="shared" si="28"/>
        <v>0</v>
      </c>
      <c r="AP42" s="131" t="s">
        <v>226</v>
      </c>
      <c r="AQ42" s="125">
        <f t="shared" si="53"/>
        <v>1966.3333333333333</v>
      </c>
      <c r="AR42" s="131">
        <f t="shared" si="22"/>
        <v>5</v>
      </c>
      <c r="AS42" s="125">
        <f t="shared" si="23"/>
        <v>1966.3333333333333</v>
      </c>
      <c r="AT42" s="125">
        <v>5</v>
      </c>
      <c r="AU42" s="125">
        <f t="shared" si="46"/>
        <v>1966.3333333333333</v>
      </c>
      <c r="AV42" s="126">
        <v>5</v>
      </c>
      <c r="AW42" s="126"/>
      <c r="AX42" s="130">
        <v>1</v>
      </c>
      <c r="AY42" s="126"/>
      <c r="AZ42" s="125">
        <f>N41*60%</f>
        <v>10618.199999999999</v>
      </c>
      <c r="BA42" s="129">
        <v>1</v>
      </c>
      <c r="BB42" s="129">
        <f>N42*20%</f>
        <v>3539.4</v>
      </c>
      <c r="BC42" s="126">
        <v>11</v>
      </c>
      <c r="BD42" s="125">
        <f>(AB42+AC42+AD42+AB66+AC66+AD66)*30%</f>
        <v>30355.885312500002</v>
      </c>
      <c r="BE42" s="125">
        <f>BE26</f>
        <v>17697</v>
      </c>
      <c r="BF42" s="125">
        <v>11</v>
      </c>
      <c r="BG42" s="125">
        <f>(AB42+AC42+AD42+AB66+AC66+AD66)*30%</f>
        <v>30355.885312500002</v>
      </c>
      <c r="BH42" s="126"/>
      <c r="BI42" s="126"/>
      <c r="BJ42" s="126"/>
      <c r="BK42" s="120">
        <f t="shared" si="58"/>
        <v>94532.703958333339</v>
      </c>
      <c r="BL42" s="120">
        <f t="shared" si="10"/>
        <v>195718.98833333334</v>
      </c>
      <c r="BM42" s="120">
        <f t="shared" si="11"/>
        <v>100179.15302083334</v>
      </c>
      <c r="BN42" s="120">
        <f t="shared" si="26"/>
        <v>95539.835312499999</v>
      </c>
      <c r="BO42" s="120">
        <f t="shared" si="27"/>
        <v>2348627.8600000003</v>
      </c>
    </row>
    <row r="43" spans="2:67" ht="15.75" customHeight="1" x14ac:dyDescent="0.25">
      <c r="B43" s="72" t="s">
        <v>246</v>
      </c>
      <c r="C43" s="74"/>
      <c r="D43" s="72" t="s">
        <v>236</v>
      </c>
      <c r="E43" s="72" t="s">
        <v>79</v>
      </c>
      <c r="F43" s="74"/>
      <c r="G43" s="72"/>
      <c r="H43" s="72"/>
      <c r="I43" s="72" t="s">
        <v>159</v>
      </c>
      <c r="J43" s="72" t="s">
        <v>156</v>
      </c>
      <c r="K43" s="74" t="s">
        <v>157</v>
      </c>
      <c r="L43" s="76">
        <v>13.04</v>
      </c>
      <c r="M43" s="82">
        <v>4.49</v>
      </c>
      <c r="N43" s="77">
        <v>17697</v>
      </c>
      <c r="O43" s="78">
        <f t="shared" si="0"/>
        <v>79459.53</v>
      </c>
      <c r="P43" s="74"/>
      <c r="Q43" s="139">
        <v>5</v>
      </c>
      <c r="R43" s="74"/>
      <c r="S43" s="114"/>
      <c r="T43" s="115"/>
      <c r="U43" s="114"/>
      <c r="V43" s="78">
        <f t="shared" si="12"/>
        <v>0</v>
      </c>
      <c r="W43" s="78">
        <f t="shared" si="13"/>
        <v>22072.091666666667</v>
      </c>
      <c r="X43" s="78">
        <f t="shared" si="14"/>
        <v>0</v>
      </c>
      <c r="Y43" s="79"/>
      <c r="Z43" s="79"/>
      <c r="AA43" s="79"/>
      <c r="AB43" s="78">
        <f t="shared" si="15"/>
        <v>22072.091666666667</v>
      </c>
      <c r="AC43" s="78">
        <f t="shared" si="16"/>
        <v>11036.045833333334</v>
      </c>
      <c r="AD43" s="78">
        <f t="shared" si="17"/>
        <v>8277.0343749999993</v>
      </c>
      <c r="AE43" s="78">
        <f t="shared" si="18"/>
        <v>4138.5171875000005</v>
      </c>
      <c r="AF43" s="78">
        <f t="shared" si="19"/>
        <v>45523.689062500001</v>
      </c>
      <c r="AG43" s="120"/>
      <c r="AH43" s="125"/>
      <c r="AI43" s="125">
        <f t="shared" si="47"/>
        <v>0</v>
      </c>
      <c r="AJ43" s="125"/>
      <c r="AK43" s="125">
        <f t="shared" si="54"/>
        <v>0</v>
      </c>
      <c r="AL43" s="125">
        <f t="shared" si="20"/>
        <v>0</v>
      </c>
      <c r="AM43" s="125">
        <f t="shared" si="21"/>
        <v>0</v>
      </c>
      <c r="AN43" s="125"/>
      <c r="AO43" s="125">
        <f t="shared" si="28"/>
        <v>0</v>
      </c>
      <c r="AP43" s="125"/>
      <c r="AQ43" s="125">
        <f t="shared" si="53"/>
        <v>0</v>
      </c>
      <c r="AR43" s="131">
        <f t="shared" si="22"/>
        <v>0</v>
      </c>
      <c r="AS43" s="125">
        <f t="shared" si="23"/>
        <v>0</v>
      </c>
      <c r="AT43" s="125"/>
      <c r="AU43" s="125"/>
      <c r="AV43" s="126">
        <v>6</v>
      </c>
      <c r="AW43" s="126"/>
      <c r="AX43" s="130">
        <v>0.5</v>
      </c>
      <c r="AY43" s="126"/>
      <c r="AZ43" s="125">
        <f>N42*60%</f>
        <v>10618.199999999999</v>
      </c>
      <c r="BA43" s="129"/>
      <c r="BB43" s="129"/>
      <c r="BC43" s="126">
        <v>5</v>
      </c>
      <c r="BD43" s="125">
        <f t="shared" si="52"/>
        <v>12415.551562499999</v>
      </c>
      <c r="BE43" s="125"/>
      <c r="BF43" s="125"/>
      <c r="BG43" s="126"/>
      <c r="BH43" s="126"/>
      <c r="BI43" s="126"/>
      <c r="BJ43" s="126"/>
      <c r="BK43" s="120">
        <f t="shared" si="58"/>
        <v>23033.751562499998</v>
      </c>
      <c r="BL43" s="120">
        <f t="shared" si="10"/>
        <v>68557.440625000003</v>
      </c>
      <c r="BM43" s="120">
        <f t="shared" si="11"/>
        <v>35867.148958333331</v>
      </c>
      <c r="BN43" s="120">
        <f t="shared" si="26"/>
        <v>32690.291666666672</v>
      </c>
      <c r="BO43" s="120">
        <f t="shared" si="27"/>
        <v>822689.28750000009</v>
      </c>
    </row>
    <row r="44" spans="2:67" ht="15.75" customHeight="1" x14ac:dyDescent="0.25">
      <c r="B44" s="72" t="s">
        <v>246</v>
      </c>
      <c r="C44" s="74"/>
      <c r="D44" s="72" t="s">
        <v>163</v>
      </c>
      <c r="E44" s="72" t="s">
        <v>118</v>
      </c>
      <c r="F44" s="74">
        <v>28</v>
      </c>
      <c r="G44" s="72"/>
      <c r="H44" s="72"/>
      <c r="I44" s="72" t="s">
        <v>162</v>
      </c>
      <c r="J44" s="72" t="s">
        <v>156</v>
      </c>
      <c r="K44" s="74" t="s">
        <v>160</v>
      </c>
      <c r="L44" s="76">
        <v>14.1</v>
      </c>
      <c r="M44" s="82">
        <v>3.61</v>
      </c>
      <c r="N44" s="77">
        <v>17697</v>
      </c>
      <c r="O44" s="78">
        <f t="shared" si="0"/>
        <v>63886.17</v>
      </c>
      <c r="P44" s="74"/>
      <c r="Q44" s="139">
        <v>1</v>
      </c>
      <c r="R44" s="74"/>
      <c r="S44" s="114"/>
      <c r="T44" s="115"/>
      <c r="U44" s="114"/>
      <c r="V44" s="78">
        <f t="shared" si="12"/>
        <v>0</v>
      </c>
      <c r="W44" s="78">
        <f t="shared" si="13"/>
        <v>3549.2316666666666</v>
      </c>
      <c r="X44" s="78">
        <f t="shared" si="14"/>
        <v>0</v>
      </c>
      <c r="Y44" s="79"/>
      <c r="Z44" s="79"/>
      <c r="AA44" s="79"/>
      <c r="AB44" s="78">
        <f t="shared" si="15"/>
        <v>3549.2316666666666</v>
      </c>
      <c r="AC44" s="78">
        <f t="shared" si="16"/>
        <v>1774.6158333333333</v>
      </c>
      <c r="AD44" s="78">
        <f t="shared" si="17"/>
        <v>1330.961875</v>
      </c>
      <c r="AE44" s="78">
        <f t="shared" si="18"/>
        <v>665.48093749999998</v>
      </c>
      <c r="AF44" s="78">
        <f t="shared" si="19"/>
        <v>7320.2903124999993</v>
      </c>
      <c r="AG44" s="120"/>
      <c r="AH44" s="125"/>
      <c r="AI44" s="125">
        <f t="shared" si="47"/>
        <v>0</v>
      </c>
      <c r="AJ44" s="125"/>
      <c r="AK44" s="125">
        <f t="shared" si="54"/>
        <v>0</v>
      </c>
      <c r="AL44" s="125">
        <f t="shared" si="20"/>
        <v>0</v>
      </c>
      <c r="AM44" s="125">
        <f t="shared" si="21"/>
        <v>0</v>
      </c>
      <c r="AN44" s="125"/>
      <c r="AO44" s="125">
        <f t="shared" si="28"/>
        <v>0</v>
      </c>
      <c r="AP44" s="125"/>
      <c r="AQ44" s="125">
        <f t="shared" si="53"/>
        <v>0</v>
      </c>
      <c r="AR44" s="131">
        <f t="shared" si="22"/>
        <v>0</v>
      </c>
      <c r="AS44" s="125">
        <f t="shared" si="23"/>
        <v>0</v>
      </c>
      <c r="AT44" s="125"/>
      <c r="AU44" s="125"/>
      <c r="AV44" s="126"/>
      <c r="AW44" s="126"/>
      <c r="AX44" s="126"/>
      <c r="AY44" s="126"/>
      <c r="AZ44" s="125"/>
      <c r="BA44" s="129"/>
      <c r="BB44" s="129"/>
      <c r="BC44" s="126">
        <v>1</v>
      </c>
      <c r="BD44" s="125">
        <f t="shared" si="52"/>
        <v>1996.4428124999999</v>
      </c>
      <c r="BE44" s="125"/>
      <c r="BF44" s="125"/>
      <c r="BG44" s="126"/>
      <c r="BH44" s="126"/>
      <c r="BI44" s="126"/>
      <c r="BJ44" s="126"/>
      <c r="BK44" s="120">
        <f t="shared" si="58"/>
        <v>1996.4428124999999</v>
      </c>
      <c r="BL44" s="120">
        <f t="shared" si="10"/>
        <v>9316.7331249999988</v>
      </c>
      <c r="BM44" s="120">
        <f t="shared" si="11"/>
        <v>5767.5014583333332</v>
      </c>
      <c r="BN44" s="120">
        <f t="shared" si="26"/>
        <v>3549.2316666666657</v>
      </c>
      <c r="BO44" s="120">
        <f t="shared" si="27"/>
        <v>111800.79749999999</v>
      </c>
    </row>
    <row r="45" spans="2:67" ht="15.75" customHeight="1" x14ac:dyDescent="0.25">
      <c r="B45" s="89" t="s">
        <v>164</v>
      </c>
      <c r="C45" s="74"/>
      <c r="D45" s="72"/>
      <c r="E45" s="74"/>
      <c r="F45" s="74"/>
      <c r="G45" s="74"/>
      <c r="H45" s="74"/>
      <c r="I45" s="74"/>
      <c r="J45" s="74"/>
      <c r="K45" s="74"/>
      <c r="L45" s="90"/>
      <c r="M45" s="91"/>
      <c r="N45" s="92"/>
      <c r="O45" s="94">
        <f>SUM(O16:O44)</f>
        <v>2546421.3299999991</v>
      </c>
      <c r="P45" s="94">
        <f t="shared" ref="P45:BO45" si="61">SUM(P16:P44)</f>
        <v>97</v>
      </c>
      <c r="Q45" s="94">
        <f t="shared" si="61"/>
        <v>133</v>
      </c>
      <c r="R45" s="94">
        <f t="shared" si="61"/>
        <v>62</v>
      </c>
      <c r="S45" s="94">
        <f t="shared" si="61"/>
        <v>0</v>
      </c>
      <c r="T45" s="94">
        <f t="shared" si="61"/>
        <v>0</v>
      </c>
      <c r="U45" s="94">
        <f t="shared" si="61"/>
        <v>0</v>
      </c>
      <c r="V45" s="94">
        <f t="shared" si="61"/>
        <v>482911.80333333334</v>
      </c>
      <c r="W45" s="94">
        <f t="shared" si="61"/>
        <v>666621.41083333339</v>
      </c>
      <c r="X45" s="94">
        <f t="shared" si="61"/>
        <v>301694.52333333332</v>
      </c>
      <c r="Y45" s="94">
        <f t="shared" si="61"/>
        <v>0</v>
      </c>
      <c r="Z45" s="94">
        <f t="shared" si="61"/>
        <v>0</v>
      </c>
      <c r="AA45" s="94">
        <f t="shared" si="61"/>
        <v>0</v>
      </c>
      <c r="AB45" s="94">
        <f t="shared" si="61"/>
        <v>1451227.7374999996</v>
      </c>
      <c r="AC45" s="94">
        <f t="shared" si="61"/>
        <v>725613.86874999979</v>
      </c>
      <c r="AD45" s="94">
        <f t="shared" si="61"/>
        <v>544210.40156250005</v>
      </c>
      <c r="AE45" s="94">
        <f t="shared" si="61"/>
        <v>272105.20078125002</v>
      </c>
      <c r="AF45" s="94">
        <f t="shared" si="61"/>
        <v>2993157.2085937499</v>
      </c>
      <c r="AG45" s="94">
        <f t="shared" si="61"/>
        <v>0</v>
      </c>
      <c r="AH45" s="94">
        <f t="shared" si="61"/>
        <v>42.5</v>
      </c>
      <c r="AI45" s="94">
        <f>AI39+AI36+AI32+AI30+AI23</f>
        <v>16713.833333333332</v>
      </c>
      <c r="AJ45" s="94">
        <f t="shared" si="61"/>
        <v>4</v>
      </c>
      <c r="AK45" s="94">
        <f t="shared" si="61"/>
        <v>1966.5111111111109</v>
      </c>
      <c r="AL45" s="94">
        <f t="shared" si="61"/>
        <v>46.677777777777777</v>
      </c>
      <c r="AM45" s="94">
        <f>AM39+AM36+AM32+AM30+AM29+AM23</f>
        <v>18680.166666666668</v>
      </c>
      <c r="AN45" s="94">
        <f t="shared" si="61"/>
        <v>14.5</v>
      </c>
      <c r="AO45" s="94">
        <f t="shared" si="61"/>
        <v>7127.9583333333339</v>
      </c>
      <c r="AP45" s="94">
        <f t="shared" si="61"/>
        <v>14</v>
      </c>
      <c r="AQ45" s="94">
        <f t="shared" si="61"/>
        <v>15534.033333333333</v>
      </c>
      <c r="AR45" s="94">
        <f t="shared" si="61"/>
        <v>52.5</v>
      </c>
      <c r="AS45" s="94">
        <f t="shared" si="61"/>
        <v>22661.991666666665</v>
      </c>
      <c r="AT45" s="94">
        <f>SUM(AT16:AT44)</f>
        <v>99</v>
      </c>
      <c r="AU45" s="94">
        <f>SUM(AU16:AU44)</f>
        <v>41342.158333333333</v>
      </c>
      <c r="AV45" s="94">
        <f t="shared" si="61"/>
        <v>63</v>
      </c>
      <c r="AW45" s="94">
        <f t="shared" si="61"/>
        <v>4</v>
      </c>
      <c r="AX45" s="94">
        <f t="shared" si="61"/>
        <v>4</v>
      </c>
      <c r="AY45" s="94">
        <f t="shared" si="61"/>
        <v>2</v>
      </c>
      <c r="AZ45" s="94">
        <f t="shared" si="61"/>
        <v>109721.39999999998</v>
      </c>
      <c r="BA45" s="94">
        <f t="shared" si="61"/>
        <v>3</v>
      </c>
      <c r="BB45" s="94">
        <f t="shared" si="61"/>
        <v>10618.2</v>
      </c>
      <c r="BC45" s="94">
        <f t="shared" si="61"/>
        <v>326</v>
      </c>
      <c r="BD45" s="94">
        <f t="shared" si="61"/>
        <v>914091.52734375</v>
      </c>
      <c r="BE45" s="94">
        <f t="shared" si="61"/>
        <v>53091</v>
      </c>
      <c r="BF45" s="94">
        <f t="shared" si="61"/>
        <v>164.5</v>
      </c>
      <c r="BG45" s="94">
        <f t="shared" si="61"/>
        <v>938601.87234374997</v>
      </c>
      <c r="BH45" s="94">
        <f t="shared" si="61"/>
        <v>12978.166666666666</v>
      </c>
      <c r="BI45" s="94">
        <f t="shared" si="61"/>
        <v>29170</v>
      </c>
      <c r="BJ45" s="94">
        <f t="shared" si="61"/>
        <v>17697</v>
      </c>
      <c r="BK45" s="94">
        <f t="shared" si="61"/>
        <v>2127311.3246875005</v>
      </c>
      <c r="BL45" s="94">
        <f t="shared" si="61"/>
        <v>5120468.5332812499</v>
      </c>
      <c r="BM45" s="94">
        <f t="shared" si="61"/>
        <v>2509111.9984374996</v>
      </c>
      <c r="BN45" s="94">
        <f t="shared" si="61"/>
        <v>2611356.5348437498</v>
      </c>
      <c r="BO45" s="94">
        <f t="shared" si="61"/>
        <v>61445622.399374999</v>
      </c>
    </row>
    <row r="46" spans="2:67" ht="15.75" customHeight="1" x14ac:dyDescent="0.25">
      <c r="B46" s="89" t="s">
        <v>165</v>
      </c>
      <c r="C46" s="74"/>
      <c r="D46" s="72"/>
      <c r="E46" s="72"/>
      <c r="F46" s="72"/>
      <c r="G46" s="72"/>
      <c r="H46" s="72"/>
      <c r="I46" s="72"/>
      <c r="J46" s="74"/>
      <c r="K46" s="74"/>
      <c r="L46" s="76"/>
      <c r="M46" s="96"/>
      <c r="N46" s="77"/>
      <c r="O46" s="78">
        <f>O47+O58+O76</f>
        <v>2614554.7800000003</v>
      </c>
      <c r="P46" s="78">
        <f t="shared" ref="P46:BO46" si="62">P47+P58+P76</f>
        <v>3</v>
      </c>
      <c r="Q46" s="78">
        <f t="shared" si="62"/>
        <v>0</v>
      </c>
      <c r="R46" s="78">
        <f t="shared" si="62"/>
        <v>0</v>
      </c>
      <c r="S46" s="78">
        <f t="shared" si="62"/>
        <v>10</v>
      </c>
      <c r="T46" s="78">
        <f t="shared" si="62"/>
        <v>14</v>
      </c>
      <c r="U46" s="78">
        <f t="shared" si="62"/>
        <v>16</v>
      </c>
      <c r="V46" s="78">
        <f t="shared" si="62"/>
        <v>11385.07</v>
      </c>
      <c r="W46" s="78">
        <f t="shared" si="62"/>
        <v>0</v>
      </c>
      <c r="X46" s="78">
        <f t="shared" si="62"/>
        <v>0</v>
      </c>
      <c r="Y46" s="78">
        <f t="shared" si="62"/>
        <v>49826.886666666673</v>
      </c>
      <c r="Z46" s="78">
        <f t="shared" si="62"/>
        <v>63178.29</v>
      </c>
      <c r="AA46" s="78">
        <f t="shared" si="62"/>
        <v>78967.94666666667</v>
      </c>
      <c r="AB46" s="78">
        <f t="shared" si="62"/>
        <v>203358.19333333336</v>
      </c>
      <c r="AC46" s="78">
        <f t="shared" si="62"/>
        <v>101679.09666666668</v>
      </c>
      <c r="AD46" s="78">
        <f t="shared" si="62"/>
        <v>76259.322499999995</v>
      </c>
      <c r="AE46" s="78">
        <f t="shared" si="62"/>
        <v>35392.1565625</v>
      </c>
      <c r="AF46" s="78">
        <f t="shared" si="62"/>
        <v>416688.76906250004</v>
      </c>
      <c r="AG46" s="78">
        <f t="shared" si="62"/>
        <v>0</v>
      </c>
      <c r="AH46" s="78">
        <f t="shared" si="62"/>
        <v>0</v>
      </c>
      <c r="AI46" s="78">
        <f t="shared" si="62"/>
        <v>0</v>
      </c>
      <c r="AJ46" s="78">
        <f t="shared" si="62"/>
        <v>0</v>
      </c>
      <c r="AK46" s="78">
        <f t="shared" si="62"/>
        <v>0</v>
      </c>
      <c r="AL46" s="78">
        <f t="shared" si="62"/>
        <v>0</v>
      </c>
      <c r="AM46" s="78">
        <f t="shared" si="62"/>
        <v>0</v>
      </c>
      <c r="AN46" s="78">
        <f t="shared" si="62"/>
        <v>0</v>
      </c>
      <c r="AO46" s="78">
        <f t="shared" si="62"/>
        <v>0</v>
      </c>
      <c r="AP46" s="78">
        <f t="shared" si="62"/>
        <v>0</v>
      </c>
      <c r="AQ46" s="78">
        <f t="shared" si="62"/>
        <v>0</v>
      </c>
      <c r="AR46" s="78">
        <f t="shared" si="62"/>
        <v>0</v>
      </c>
      <c r="AS46" s="78">
        <f t="shared" si="62"/>
        <v>0</v>
      </c>
      <c r="AT46" s="78">
        <f t="shared" si="62"/>
        <v>0</v>
      </c>
      <c r="AU46" s="78">
        <f t="shared" si="62"/>
        <v>0</v>
      </c>
      <c r="AV46" s="78">
        <f t="shared" si="62"/>
        <v>0</v>
      </c>
      <c r="AW46" s="78">
        <f t="shared" si="62"/>
        <v>0</v>
      </c>
      <c r="AX46" s="78">
        <f t="shared" si="62"/>
        <v>0</v>
      </c>
      <c r="AY46" s="78">
        <f t="shared" si="62"/>
        <v>0</v>
      </c>
      <c r="AZ46" s="78">
        <f t="shared" si="62"/>
        <v>0</v>
      </c>
      <c r="BA46" s="78">
        <f t="shared" si="62"/>
        <v>0</v>
      </c>
      <c r="BB46" s="78">
        <f t="shared" si="62"/>
        <v>0</v>
      </c>
      <c r="BC46" s="78">
        <f t="shared" si="62"/>
        <v>3</v>
      </c>
      <c r="BD46" s="78">
        <f t="shared" si="62"/>
        <v>8212.5140624999985</v>
      </c>
      <c r="BE46" s="78">
        <f t="shared" si="62"/>
        <v>0</v>
      </c>
      <c r="BF46" s="78">
        <f t="shared" si="62"/>
        <v>0</v>
      </c>
      <c r="BG46" s="78">
        <f t="shared" si="62"/>
        <v>0</v>
      </c>
      <c r="BH46" s="78">
        <f t="shared" si="62"/>
        <v>0</v>
      </c>
      <c r="BI46" s="78">
        <f t="shared" si="62"/>
        <v>0</v>
      </c>
      <c r="BJ46" s="78">
        <f t="shared" si="62"/>
        <v>0</v>
      </c>
      <c r="BK46" s="78">
        <f t="shared" si="62"/>
        <v>8212.5140624999985</v>
      </c>
      <c r="BL46" s="78">
        <f t="shared" si="62"/>
        <v>424901.28312500002</v>
      </c>
      <c r="BM46" s="78">
        <f t="shared" si="62"/>
        <v>213330.57572916668</v>
      </c>
      <c r="BN46" s="78">
        <f t="shared" si="62"/>
        <v>211570.70739583333</v>
      </c>
      <c r="BO46" s="78">
        <f t="shared" si="62"/>
        <v>5098815.397499999</v>
      </c>
    </row>
    <row r="47" spans="2:67" ht="15.75" customHeight="1" x14ac:dyDescent="0.25">
      <c r="B47" s="97" t="s">
        <v>166</v>
      </c>
      <c r="C47" s="73"/>
      <c r="D47" s="72"/>
      <c r="E47" s="72"/>
      <c r="F47" s="72"/>
      <c r="G47" s="72"/>
      <c r="H47" s="72"/>
      <c r="I47" s="72"/>
      <c r="J47" s="74"/>
      <c r="K47" s="74"/>
      <c r="L47" s="76"/>
      <c r="M47" s="98"/>
      <c r="N47" s="77"/>
      <c r="O47" s="94">
        <f>SUM(O48:O57)</f>
        <v>836537.19000000018</v>
      </c>
      <c r="P47" s="94">
        <f t="shared" ref="P47:BO47" si="63">SUM(P48:P57)</f>
        <v>0</v>
      </c>
      <c r="Q47" s="94">
        <f t="shared" si="63"/>
        <v>0</v>
      </c>
      <c r="R47" s="94">
        <f t="shared" si="63"/>
        <v>0</v>
      </c>
      <c r="S47" s="94">
        <f t="shared" si="63"/>
        <v>3</v>
      </c>
      <c r="T47" s="94">
        <f t="shared" si="63"/>
        <v>9</v>
      </c>
      <c r="U47" s="94">
        <f t="shared" si="63"/>
        <v>4</v>
      </c>
      <c r="V47" s="94">
        <f t="shared" si="63"/>
        <v>0</v>
      </c>
      <c r="W47" s="94">
        <f t="shared" si="63"/>
        <v>0</v>
      </c>
      <c r="X47" s="94">
        <f t="shared" si="63"/>
        <v>0</v>
      </c>
      <c r="Y47" s="94">
        <f t="shared" si="63"/>
        <v>15956.795000000002</v>
      </c>
      <c r="Z47" s="94">
        <f t="shared" si="63"/>
        <v>39405.32</v>
      </c>
      <c r="AA47" s="94">
        <f t="shared" si="63"/>
        <v>18168.919999999998</v>
      </c>
      <c r="AB47" s="94">
        <f t="shared" si="63"/>
        <v>73531.035000000003</v>
      </c>
      <c r="AC47" s="94">
        <f t="shared" si="63"/>
        <v>36765.517500000002</v>
      </c>
      <c r="AD47" s="94">
        <f t="shared" si="63"/>
        <v>27574.138124999998</v>
      </c>
      <c r="AE47" s="94">
        <f t="shared" si="63"/>
        <v>11962.0659375</v>
      </c>
      <c r="AF47" s="94">
        <f t="shared" si="63"/>
        <v>149832.7565625</v>
      </c>
      <c r="AG47" s="94">
        <f t="shared" si="63"/>
        <v>0</v>
      </c>
      <c r="AH47" s="94">
        <f t="shared" si="63"/>
        <v>0</v>
      </c>
      <c r="AI47" s="94">
        <f t="shared" si="63"/>
        <v>0</v>
      </c>
      <c r="AJ47" s="94">
        <f t="shared" si="63"/>
        <v>0</v>
      </c>
      <c r="AK47" s="94">
        <f t="shared" si="63"/>
        <v>0</v>
      </c>
      <c r="AL47" s="94">
        <f t="shared" si="63"/>
        <v>0</v>
      </c>
      <c r="AM47" s="94">
        <f t="shared" si="63"/>
        <v>0</v>
      </c>
      <c r="AN47" s="94">
        <f t="shared" si="63"/>
        <v>0</v>
      </c>
      <c r="AO47" s="94">
        <f t="shared" si="63"/>
        <v>0</v>
      </c>
      <c r="AP47" s="94">
        <f t="shared" si="63"/>
        <v>0</v>
      </c>
      <c r="AQ47" s="94">
        <f t="shared" si="63"/>
        <v>0</v>
      </c>
      <c r="AR47" s="94">
        <f t="shared" si="63"/>
        <v>0</v>
      </c>
      <c r="AS47" s="94">
        <f t="shared" si="63"/>
        <v>0</v>
      </c>
      <c r="AT47" s="94">
        <f t="shared" si="63"/>
        <v>0</v>
      </c>
      <c r="AU47" s="94">
        <f t="shared" si="63"/>
        <v>0</v>
      </c>
      <c r="AV47" s="94">
        <f t="shared" si="63"/>
        <v>0</v>
      </c>
      <c r="AW47" s="94">
        <f t="shared" si="63"/>
        <v>0</v>
      </c>
      <c r="AX47" s="94">
        <f t="shared" si="63"/>
        <v>0</v>
      </c>
      <c r="AY47" s="94">
        <f t="shared" si="63"/>
        <v>0</v>
      </c>
      <c r="AZ47" s="94">
        <f t="shared" si="63"/>
        <v>0</v>
      </c>
      <c r="BA47" s="94">
        <f t="shared" si="63"/>
        <v>0</v>
      </c>
      <c r="BB47" s="94">
        <f t="shared" si="63"/>
        <v>0</v>
      </c>
      <c r="BC47" s="94">
        <f t="shared" si="63"/>
        <v>2</v>
      </c>
      <c r="BD47" s="94">
        <f t="shared" si="63"/>
        <v>5475.0093749999996</v>
      </c>
      <c r="BE47" s="94">
        <f t="shared" si="63"/>
        <v>0</v>
      </c>
      <c r="BF47" s="94">
        <f t="shared" si="63"/>
        <v>0</v>
      </c>
      <c r="BG47" s="94">
        <f t="shared" si="63"/>
        <v>0</v>
      </c>
      <c r="BH47" s="94">
        <f t="shared" si="63"/>
        <v>0</v>
      </c>
      <c r="BI47" s="94">
        <f t="shared" si="63"/>
        <v>0</v>
      </c>
      <c r="BJ47" s="94">
        <f t="shared" si="63"/>
        <v>0</v>
      </c>
      <c r="BK47" s="94">
        <f t="shared" si="63"/>
        <v>5475.0093749999996</v>
      </c>
      <c r="BL47" s="94">
        <f t="shared" si="63"/>
        <v>155307.76593750002</v>
      </c>
      <c r="BM47" s="94">
        <f t="shared" si="63"/>
        <v>76301.721562499995</v>
      </c>
      <c r="BN47" s="94">
        <f t="shared" si="63"/>
        <v>79006.044374999998</v>
      </c>
      <c r="BO47" s="94">
        <f t="shared" si="63"/>
        <v>1863693.1912499999</v>
      </c>
    </row>
    <row r="48" spans="2:67" ht="15.75" customHeight="1" x14ac:dyDescent="0.25">
      <c r="B48" s="72" t="s">
        <v>246</v>
      </c>
      <c r="C48" s="74"/>
      <c r="D48" s="72" t="s">
        <v>127</v>
      </c>
      <c r="E48" s="72" t="s">
        <v>79</v>
      </c>
      <c r="F48" s="74">
        <v>55</v>
      </c>
      <c r="G48" s="72" t="s">
        <v>128</v>
      </c>
      <c r="H48" s="72" t="s">
        <v>97</v>
      </c>
      <c r="I48" s="72" t="s">
        <v>85</v>
      </c>
      <c r="J48" s="72" t="s">
        <v>86</v>
      </c>
      <c r="K48" s="74" t="s">
        <v>87</v>
      </c>
      <c r="L48" s="76">
        <v>32.03</v>
      </c>
      <c r="M48" s="76">
        <v>5.41</v>
      </c>
      <c r="N48" s="77">
        <v>17697</v>
      </c>
      <c r="O48" s="78">
        <f t="shared" ref="O48:O55" si="64">SUM(N48*M48)</f>
        <v>95740.77</v>
      </c>
      <c r="P48" s="74"/>
      <c r="Q48" s="74"/>
      <c r="R48" s="74"/>
      <c r="S48" s="79"/>
      <c r="T48" s="79">
        <v>1</v>
      </c>
      <c r="U48" s="79"/>
      <c r="V48" s="78"/>
      <c r="W48" s="78"/>
      <c r="X48" s="78"/>
      <c r="Y48" s="118">
        <f>O48/18*S48</f>
        <v>0</v>
      </c>
      <c r="Z48" s="118">
        <f>O48/18*T48</f>
        <v>5318.9316666666673</v>
      </c>
      <c r="AA48" s="92"/>
      <c r="AB48" s="120">
        <f>O48/18*T48</f>
        <v>5318.9316666666673</v>
      </c>
      <c r="AC48" s="120">
        <f>AB48*50%</f>
        <v>2659.4658333333336</v>
      </c>
      <c r="AD48" s="120">
        <f t="shared" si="17"/>
        <v>1994.5993750000002</v>
      </c>
      <c r="AE48" s="120">
        <f t="shared" ref="AE48:AE79" si="65">SUM(AB48+AD48+AC48)*10%</f>
        <v>997.29968750000012</v>
      </c>
      <c r="AF48" s="120">
        <f t="shared" ref="AF48:AF77" si="66">SUM(AB48:AE48)</f>
        <v>10970.296562500002</v>
      </c>
      <c r="AG48" s="46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53"/>
      <c r="AW48" s="53"/>
      <c r="AX48" s="53"/>
      <c r="AY48" s="53"/>
      <c r="AZ48" s="53"/>
      <c r="BA48" s="49"/>
      <c r="BB48" s="49"/>
      <c r="BC48" s="45"/>
      <c r="BD48" s="79"/>
      <c r="BE48" s="47"/>
      <c r="BF48" s="51"/>
      <c r="BG48" s="47"/>
      <c r="BH48" s="47"/>
      <c r="BI48" s="47"/>
      <c r="BJ48" s="47"/>
      <c r="BK48" s="94"/>
      <c r="BL48" s="120">
        <f t="shared" ref="BL48:BL79" si="67">AF48</f>
        <v>10970.296562500002</v>
      </c>
      <c r="BM48" s="120">
        <f t="shared" ref="BM48:BM79" si="68">AD48+AC48+AE48</f>
        <v>5651.3648958333333</v>
      </c>
      <c r="BN48" s="120">
        <f>BL48-BM48</f>
        <v>5318.9316666666682</v>
      </c>
      <c r="BO48" s="120">
        <f>BL48*12</f>
        <v>131643.55875000003</v>
      </c>
    </row>
    <row r="49" spans="2:67" ht="15.75" customHeight="1" x14ac:dyDescent="0.25">
      <c r="B49" s="72" t="s">
        <v>246</v>
      </c>
      <c r="C49" s="74"/>
      <c r="D49" s="72" t="s">
        <v>90</v>
      </c>
      <c r="E49" s="72" t="s">
        <v>79</v>
      </c>
      <c r="F49" s="74">
        <v>47</v>
      </c>
      <c r="G49" s="75">
        <v>43335</v>
      </c>
      <c r="H49" s="75">
        <v>45161</v>
      </c>
      <c r="I49" s="72" t="s">
        <v>91</v>
      </c>
      <c r="J49" s="72" t="s">
        <v>92</v>
      </c>
      <c r="K49" s="74" t="s">
        <v>87</v>
      </c>
      <c r="L49" s="76">
        <v>20.079999999999998</v>
      </c>
      <c r="M49" s="82">
        <v>5.32</v>
      </c>
      <c r="N49" s="77">
        <v>17697</v>
      </c>
      <c r="O49" s="78">
        <f t="shared" si="64"/>
        <v>94148.040000000008</v>
      </c>
      <c r="P49" s="74"/>
      <c r="Q49" s="79"/>
      <c r="R49" s="74"/>
      <c r="S49" s="78"/>
      <c r="T49" s="99">
        <v>1</v>
      </c>
      <c r="U49" s="78"/>
      <c r="V49" s="78"/>
      <c r="W49" s="78"/>
      <c r="X49" s="78"/>
      <c r="Y49" s="118">
        <f t="shared" ref="Y49:Y56" si="69">O49/18*S49</f>
        <v>0</v>
      </c>
      <c r="Z49" s="118">
        <f t="shared" ref="Z49:Z56" si="70">O49/18*T49</f>
        <v>5230.4466666666667</v>
      </c>
      <c r="AA49" s="92"/>
      <c r="AB49" s="120">
        <f>O49/18*T49</f>
        <v>5230.4466666666667</v>
      </c>
      <c r="AC49" s="120">
        <f t="shared" ref="AC49:AC56" si="71">AB49*50%</f>
        <v>2615.2233333333334</v>
      </c>
      <c r="AD49" s="120">
        <f t="shared" si="17"/>
        <v>1961.4175</v>
      </c>
      <c r="AE49" s="120">
        <f t="shared" si="65"/>
        <v>980.70875000000001</v>
      </c>
      <c r="AF49" s="120">
        <f t="shared" si="66"/>
        <v>10787.796249999999</v>
      </c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5"/>
      <c r="AW49" s="45"/>
      <c r="AX49" s="48"/>
      <c r="AY49" s="45"/>
      <c r="AZ49" s="47"/>
      <c r="BA49" s="45"/>
      <c r="BB49" s="45"/>
      <c r="BC49" s="45"/>
      <c r="BD49" s="74"/>
      <c r="BE49" s="45"/>
      <c r="BF49" s="45"/>
      <c r="BG49" s="45"/>
      <c r="BH49" s="45"/>
      <c r="BI49" s="45"/>
      <c r="BJ49" s="45"/>
      <c r="BK49" s="94"/>
      <c r="BL49" s="120">
        <f t="shared" si="67"/>
        <v>10787.796249999999</v>
      </c>
      <c r="BM49" s="120">
        <f t="shared" si="68"/>
        <v>5557.3495833333327</v>
      </c>
      <c r="BN49" s="120">
        <f t="shared" ref="BN49:BN79" si="72">BL49-BM49</f>
        <v>5230.4466666666667</v>
      </c>
      <c r="BO49" s="120">
        <f t="shared" ref="BO49:BO79" si="73">BL49*12</f>
        <v>129453.55499999999</v>
      </c>
    </row>
    <row r="50" spans="2:67" ht="15.75" customHeight="1" x14ac:dyDescent="0.25">
      <c r="B50" s="72" t="s">
        <v>246</v>
      </c>
      <c r="C50" s="74"/>
      <c r="D50" s="72" t="s">
        <v>117</v>
      </c>
      <c r="E50" s="72" t="s">
        <v>118</v>
      </c>
      <c r="F50" s="74">
        <v>32</v>
      </c>
      <c r="G50" s="75">
        <v>42529</v>
      </c>
      <c r="H50" s="75">
        <v>44355</v>
      </c>
      <c r="I50" s="72" t="s">
        <v>119</v>
      </c>
      <c r="J50" s="72" t="s">
        <v>106</v>
      </c>
      <c r="K50" s="74" t="s">
        <v>239</v>
      </c>
      <c r="L50" s="76">
        <v>37.01</v>
      </c>
      <c r="M50" s="76">
        <v>4.29</v>
      </c>
      <c r="N50" s="77">
        <v>17697</v>
      </c>
      <c r="O50" s="78">
        <f t="shared" si="64"/>
        <v>75920.13</v>
      </c>
      <c r="P50" s="74"/>
      <c r="Q50" s="74"/>
      <c r="R50" s="74"/>
      <c r="S50" s="78"/>
      <c r="T50" s="99">
        <v>2</v>
      </c>
      <c r="U50" s="78"/>
      <c r="V50" s="78"/>
      <c r="W50" s="78"/>
      <c r="X50" s="78"/>
      <c r="Y50" s="118">
        <f t="shared" si="69"/>
        <v>0</v>
      </c>
      <c r="Z50" s="118">
        <f t="shared" si="70"/>
        <v>8435.57</v>
      </c>
      <c r="AA50" s="92"/>
      <c r="AB50" s="120">
        <f>O50/18*T50</f>
        <v>8435.57</v>
      </c>
      <c r="AC50" s="120">
        <f t="shared" si="71"/>
        <v>4217.7849999999999</v>
      </c>
      <c r="AD50" s="120">
        <f t="shared" si="17"/>
        <v>3163.3387499999999</v>
      </c>
      <c r="AE50" s="120">
        <f t="shared" si="65"/>
        <v>1581.6693749999999</v>
      </c>
      <c r="AF50" s="120">
        <f t="shared" si="66"/>
        <v>17398.363125</v>
      </c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5"/>
      <c r="AW50" s="45"/>
      <c r="AX50" s="45"/>
      <c r="AY50" s="45"/>
      <c r="AZ50" s="47"/>
      <c r="BA50" s="45"/>
      <c r="BB50" s="45"/>
      <c r="BC50" s="45"/>
      <c r="BD50" s="74"/>
      <c r="BE50" s="45"/>
      <c r="BF50" s="45"/>
      <c r="BG50" s="45"/>
      <c r="BH50" s="45"/>
      <c r="BI50" s="45"/>
      <c r="BJ50" s="45"/>
      <c r="BK50" s="94"/>
      <c r="BL50" s="120">
        <f t="shared" si="67"/>
        <v>17398.363125</v>
      </c>
      <c r="BM50" s="120">
        <f t="shared" si="68"/>
        <v>8962.7931250000001</v>
      </c>
      <c r="BN50" s="120">
        <f t="shared" si="72"/>
        <v>8435.57</v>
      </c>
      <c r="BO50" s="120">
        <f t="shared" si="73"/>
        <v>208780.35749999998</v>
      </c>
    </row>
    <row r="51" spans="2:67" ht="15.75" customHeight="1" x14ac:dyDescent="0.25">
      <c r="B51" s="72" t="s">
        <v>246</v>
      </c>
      <c r="C51" s="74"/>
      <c r="D51" s="72" t="s">
        <v>141</v>
      </c>
      <c r="E51" s="72" t="s">
        <v>79</v>
      </c>
      <c r="F51" s="74">
        <v>29</v>
      </c>
      <c r="G51" s="72" t="s">
        <v>136</v>
      </c>
      <c r="H51" s="72" t="s">
        <v>137</v>
      </c>
      <c r="I51" s="72" t="s">
        <v>101</v>
      </c>
      <c r="J51" s="72" t="s">
        <v>79</v>
      </c>
      <c r="K51" s="74" t="s">
        <v>87</v>
      </c>
      <c r="L51" s="76">
        <v>38.03</v>
      </c>
      <c r="M51" s="76">
        <v>5.41</v>
      </c>
      <c r="N51" s="77">
        <v>17697</v>
      </c>
      <c r="O51" s="78">
        <f t="shared" si="64"/>
        <v>95740.77</v>
      </c>
      <c r="P51" s="79"/>
      <c r="Q51" s="74"/>
      <c r="R51" s="74"/>
      <c r="S51" s="79">
        <v>2</v>
      </c>
      <c r="T51" s="79"/>
      <c r="U51" s="79"/>
      <c r="V51" s="78"/>
      <c r="W51" s="78"/>
      <c r="X51" s="78"/>
      <c r="Y51" s="118">
        <f t="shared" si="69"/>
        <v>10637.863333333335</v>
      </c>
      <c r="Z51" s="118">
        <f t="shared" si="70"/>
        <v>0</v>
      </c>
      <c r="AA51" s="92"/>
      <c r="AB51" s="120">
        <f>Y51</f>
        <v>10637.863333333335</v>
      </c>
      <c r="AC51" s="120">
        <f t="shared" si="71"/>
        <v>5318.9316666666673</v>
      </c>
      <c r="AD51" s="120">
        <f t="shared" si="17"/>
        <v>3989.1987500000005</v>
      </c>
      <c r="AE51" s="120">
        <f t="shared" si="65"/>
        <v>1994.5993750000002</v>
      </c>
      <c r="AF51" s="120">
        <f t="shared" si="66"/>
        <v>21940.593125000003</v>
      </c>
      <c r="AG51" s="46"/>
      <c r="AH51" s="50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5"/>
      <c r="AW51" s="45"/>
      <c r="AX51" s="45"/>
      <c r="AY51" s="45"/>
      <c r="AZ51" s="47"/>
      <c r="BA51" s="49"/>
      <c r="BB51" s="49"/>
      <c r="BC51" s="45"/>
      <c r="BD51" s="79"/>
      <c r="BE51" s="47"/>
      <c r="BF51" s="47"/>
      <c r="BG51" s="47"/>
      <c r="BH51" s="47"/>
      <c r="BI51" s="47"/>
      <c r="BJ51" s="47"/>
      <c r="BK51" s="94"/>
      <c r="BL51" s="120">
        <f t="shared" si="67"/>
        <v>21940.593125000003</v>
      </c>
      <c r="BM51" s="120">
        <f t="shared" si="68"/>
        <v>11302.729791666667</v>
      </c>
      <c r="BN51" s="120">
        <f t="shared" si="72"/>
        <v>10637.863333333336</v>
      </c>
      <c r="BO51" s="120">
        <f t="shared" si="73"/>
        <v>263287.11750000005</v>
      </c>
    </row>
    <row r="52" spans="2:67" ht="15.75" customHeight="1" x14ac:dyDescent="0.25">
      <c r="B52" s="72" t="s">
        <v>246</v>
      </c>
      <c r="C52" s="74"/>
      <c r="D52" s="6" t="s">
        <v>125</v>
      </c>
      <c r="E52" s="72" t="s">
        <v>79</v>
      </c>
      <c r="F52" s="74">
        <v>51</v>
      </c>
      <c r="G52" s="75">
        <v>43335</v>
      </c>
      <c r="H52" s="75">
        <v>45161</v>
      </c>
      <c r="I52" s="72" t="s">
        <v>101</v>
      </c>
      <c r="J52" s="72" t="s">
        <v>92</v>
      </c>
      <c r="K52" s="74" t="s">
        <v>87</v>
      </c>
      <c r="L52" s="84">
        <v>29.11</v>
      </c>
      <c r="M52" s="76">
        <v>5.41</v>
      </c>
      <c r="N52" s="77">
        <v>17697</v>
      </c>
      <c r="O52" s="78">
        <f t="shared" si="64"/>
        <v>95740.77</v>
      </c>
      <c r="P52" s="74"/>
      <c r="Q52" s="74"/>
      <c r="R52" s="74"/>
      <c r="S52" s="78">
        <v>1</v>
      </c>
      <c r="T52" s="99"/>
      <c r="U52" s="78"/>
      <c r="V52" s="78"/>
      <c r="W52" s="78"/>
      <c r="X52" s="78"/>
      <c r="Y52" s="118">
        <f t="shared" si="69"/>
        <v>5318.9316666666673</v>
      </c>
      <c r="Z52" s="118">
        <f t="shared" si="70"/>
        <v>0</v>
      </c>
      <c r="AA52" s="92"/>
      <c r="AB52" s="120">
        <f>Y52</f>
        <v>5318.9316666666673</v>
      </c>
      <c r="AC52" s="120">
        <f t="shared" si="71"/>
        <v>2659.4658333333336</v>
      </c>
      <c r="AD52" s="120">
        <f t="shared" si="17"/>
        <v>1994.5993750000002</v>
      </c>
      <c r="AE52" s="120">
        <f t="shared" si="65"/>
        <v>997.29968750000012</v>
      </c>
      <c r="AF52" s="120">
        <f t="shared" si="66"/>
        <v>10970.296562500002</v>
      </c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5"/>
      <c r="AW52" s="52"/>
      <c r="AX52" s="45"/>
      <c r="AY52" s="45"/>
      <c r="AZ52" s="47"/>
      <c r="BA52" s="45"/>
      <c r="BB52" s="45"/>
      <c r="BC52" s="45"/>
      <c r="BD52" s="74"/>
      <c r="BE52" s="45"/>
      <c r="BF52" s="45"/>
      <c r="BG52" s="45"/>
      <c r="BH52" s="45"/>
      <c r="BI52" s="45"/>
      <c r="BJ52" s="45"/>
      <c r="BK52" s="94"/>
      <c r="BL52" s="120">
        <f t="shared" si="67"/>
        <v>10970.296562500002</v>
      </c>
      <c r="BM52" s="120">
        <f t="shared" si="68"/>
        <v>5651.3648958333333</v>
      </c>
      <c r="BN52" s="120">
        <f t="shared" si="72"/>
        <v>5318.9316666666682</v>
      </c>
      <c r="BO52" s="120">
        <f t="shared" si="73"/>
        <v>131643.55875000003</v>
      </c>
    </row>
    <row r="53" spans="2:67" ht="15.75" customHeight="1" x14ac:dyDescent="0.25">
      <c r="B53" s="72" t="s">
        <v>246</v>
      </c>
      <c r="C53" s="74"/>
      <c r="D53" s="72" t="s">
        <v>117</v>
      </c>
      <c r="E53" s="72" t="s">
        <v>118</v>
      </c>
      <c r="F53" s="74">
        <v>32</v>
      </c>
      <c r="G53" s="75">
        <v>42529</v>
      </c>
      <c r="H53" s="75">
        <v>44355</v>
      </c>
      <c r="I53" s="72" t="s">
        <v>119</v>
      </c>
      <c r="J53" s="72" t="s">
        <v>106</v>
      </c>
      <c r="K53" s="74" t="s">
        <v>239</v>
      </c>
      <c r="L53" s="76">
        <v>37.01</v>
      </c>
      <c r="M53" s="76">
        <v>4.29</v>
      </c>
      <c r="N53" s="77">
        <v>17697</v>
      </c>
      <c r="O53" s="78">
        <f t="shared" si="64"/>
        <v>75920.13</v>
      </c>
      <c r="P53" s="74"/>
      <c r="Q53" s="88"/>
      <c r="R53" s="74"/>
      <c r="S53" s="79"/>
      <c r="T53" s="79">
        <v>2</v>
      </c>
      <c r="U53" s="79"/>
      <c r="V53" s="78"/>
      <c r="W53" s="78"/>
      <c r="X53" s="78"/>
      <c r="Y53" s="118">
        <f t="shared" si="69"/>
        <v>0</v>
      </c>
      <c r="Z53" s="118">
        <f t="shared" si="70"/>
        <v>8435.57</v>
      </c>
      <c r="AA53" s="92"/>
      <c r="AB53" s="120">
        <f>O53/18*T53</f>
        <v>8435.57</v>
      </c>
      <c r="AC53" s="120">
        <f t="shared" si="71"/>
        <v>4217.7849999999999</v>
      </c>
      <c r="AD53" s="120">
        <f t="shared" si="17"/>
        <v>3163.3387499999999</v>
      </c>
      <c r="AE53" s="120">
        <f t="shared" si="65"/>
        <v>1581.6693749999999</v>
      </c>
      <c r="AF53" s="120">
        <f t="shared" si="66"/>
        <v>17398.363125</v>
      </c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5"/>
      <c r="AW53" s="45"/>
      <c r="AX53" s="48"/>
      <c r="AY53" s="45"/>
      <c r="AZ53" s="47"/>
      <c r="BA53" s="49"/>
      <c r="BB53" s="49"/>
      <c r="BC53" s="45"/>
      <c r="BD53" s="79"/>
      <c r="BE53" s="47"/>
      <c r="BF53" s="47"/>
      <c r="BG53" s="45"/>
      <c r="BH53" s="45"/>
      <c r="BI53" s="45"/>
      <c r="BJ53" s="45"/>
      <c r="BK53" s="94"/>
      <c r="BL53" s="120">
        <f t="shared" si="67"/>
        <v>17398.363125</v>
      </c>
      <c r="BM53" s="120">
        <f t="shared" si="68"/>
        <v>8962.7931250000001</v>
      </c>
      <c r="BN53" s="120">
        <f t="shared" si="72"/>
        <v>8435.57</v>
      </c>
      <c r="BO53" s="120">
        <f t="shared" si="73"/>
        <v>208780.35749999998</v>
      </c>
    </row>
    <row r="54" spans="2:67" s="117" customFormat="1" ht="15.75" customHeight="1" x14ac:dyDescent="0.25">
      <c r="B54" s="72" t="s">
        <v>246</v>
      </c>
      <c r="C54" s="114"/>
      <c r="D54" s="142" t="s">
        <v>104</v>
      </c>
      <c r="E54" s="81" t="s">
        <v>79</v>
      </c>
      <c r="F54" s="114">
        <v>53</v>
      </c>
      <c r="G54" s="143">
        <v>43335</v>
      </c>
      <c r="H54" s="143">
        <v>45161</v>
      </c>
      <c r="I54" s="81" t="s">
        <v>105</v>
      </c>
      <c r="J54" s="81" t="s">
        <v>106</v>
      </c>
      <c r="K54" s="114" t="s">
        <v>81</v>
      </c>
      <c r="L54" s="96">
        <v>14.05</v>
      </c>
      <c r="M54" s="96">
        <v>4.95</v>
      </c>
      <c r="N54" s="144">
        <v>17697</v>
      </c>
      <c r="O54" s="145">
        <f t="shared" si="64"/>
        <v>87600.150000000009</v>
      </c>
      <c r="P54" s="114"/>
      <c r="Q54" s="114"/>
      <c r="R54" s="114"/>
      <c r="S54" s="115"/>
      <c r="T54" s="115"/>
      <c r="U54" s="115">
        <v>2</v>
      </c>
      <c r="V54" s="145"/>
      <c r="W54" s="145"/>
      <c r="X54" s="145"/>
      <c r="Y54" s="146">
        <f t="shared" si="69"/>
        <v>0</v>
      </c>
      <c r="Z54" s="146">
        <f t="shared" si="70"/>
        <v>0</v>
      </c>
      <c r="AA54" s="132">
        <f>O54/18*U54</f>
        <v>9733.35</v>
      </c>
      <c r="AB54" s="147">
        <f>O54/18*U54</f>
        <v>9733.35</v>
      </c>
      <c r="AC54" s="147">
        <f t="shared" si="71"/>
        <v>4866.6750000000002</v>
      </c>
      <c r="AD54" s="147">
        <f t="shared" ref="AD54:AD55" si="74">(AB54+AC54)*25%</f>
        <v>3650.0062500000004</v>
      </c>
      <c r="AE54" s="147"/>
      <c r="AF54" s="147">
        <f t="shared" ref="AF54" si="75">SUM(AB54:AE54)</f>
        <v>18250.03125</v>
      </c>
      <c r="AG54" s="148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50"/>
      <c r="AW54" s="150"/>
      <c r="AX54" s="150"/>
      <c r="AY54" s="150"/>
      <c r="AZ54" s="149"/>
      <c r="BA54" s="151"/>
      <c r="BB54" s="151"/>
      <c r="BC54" s="150">
        <v>2</v>
      </c>
      <c r="BD54" s="125">
        <f t="shared" ref="BD54" si="76">(AB54+AC54+AD54)*30%</f>
        <v>5475.0093749999996</v>
      </c>
      <c r="BE54" s="149"/>
      <c r="BF54" s="149"/>
      <c r="BG54" s="149"/>
      <c r="BH54" s="149"/>
      <c r="BI54" s="149"/>
      <c r="BJ54" s="149"/>
      <c r="BK54" s="152">
        <f>BD54</f>
        <v>5475.0093749999996</v>
      </c>
      <c r="BL54" s="147">
        <f>AF54+BK54</f>
        <v>23725.040625000001</v>
      </c>
      <c r="BM54" s="147">
        <f t="shared" si="68"/>
        <v>8516.6812500000015</v>
      </c>
      <c r="BN54" s="147">
        <f t="shared" si="72"/>
        <v>15208.359375</v>
      </c>
      <c r="BO54" s="147">
        <f t="shared" si="73"/>
        <v>284700.48750000005</v>
      </c>
    </row>
    <row r="55" spans="2:67" ht="15.75" customHeight="1" x14ac:dyDescent="0.25">
      <c r="B55" s="72" t="s">
        <v>246</v>
      </c>
      <c r="C55" s="74"/>
      <c r="D55" s="72" t="s">
        <v>117</v>
      </c>
      <c r="E55" s="72" t="s">
        <v>118</v>
      </c>
      <c r="F55" s="74">
        <v>32</v>
      </c>
      <c r="G55" s="75">
        <v>42529</v>
      </c>
      <c r="H55" s="75">
        <v>44355</v>
      </c>
      <c r="I55" s="72" t="s">
        <v>119</v>
      </c>
      <c r="J55" s="72" t="s">
        <v>106</v>
      </c>
      <c r="K55" s="74" t="s">
        <v>239</v>
      </c>
      <c r="L55" s="76">
        <v>37.01</v>
      </c>
      <c r="M55" s="76">
        <v>4.29</v>
      </c>
      <c r="N55" s="77">
        <v>17697</v>
      </c>
      <c r="O55" s="78">
        <f t="shared" si="64"/>
        <v>75920.13</v>
      </c>
      <c r="P55" s="74"/>
      <c r="Q55" s="74"/>
      <c r="R55" s="74"/>
      <c r="S55" s="78"/>
      <c r="T55" s="78"/>
      <c r="U55" s="99">
        <v>2</v>
      </c>
      <c r="V55" s="78"/>
      <c r="W55" s="78"/>
      <c r="X55" s="78"/>
      <c r="Y55" s="118">
        <f t="shared" si="69"/>
        <v>0</v>
      </c>
      <c r="Z55" s="118">
        <f t="shared" si="70"/>
        <v>0</v>
      </c>
      <c r="AA55" s="125">
        <f>O55/18*U55</f>
        <v>8435.57</v>
      </c>
      <c r="AB55" s="120">
        <f>O55/18*U55</f>
        <v>8435.57</v>
      </c>
      <c r="AC55" s="120">
        <f t="shared" si="71"/>
        <v>4217.7849999999999</v>
      </c>
      <c r="AD55" s="120">
        <f t="shared" si="74"/>
        <v>3163.3387499999999</v>
      </c>
      <c r="AE55" s="120">
        <f t="shared" ref="AE55" si="77">SUM(AB55+AD55+AC55)*10%</f>
        <v>1581.6693749999999</v>
      </c>
      <c r="AF55" s="120">
        <f t="shared" ref="AF55" si="78">SUM(AB55:AE55)</f>
        <v>17398.363125</v>
      </c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5"/>
      <c r="AW55" s="45"/>
      <c r="AX55" s="45"/>
      <c r="AY55" s="45"/>
      <c r="AZ55" s="47"/>
      <c r="BA55" s="45"/>
      <c r="BB55" s="45"/>
      <c r="BC55" s="45"/>
      <c r="BD55" s="125"/>
      <c r="BE55" s="45"/>
      <c r="BF55" s="45"/>
      <c r="BG55" s="45"/>
      <c r="BH55" s="45"/>
      <c r="BI55" s="45"/>
      <c r="BJ55" s="45"/>
      <c r="BK55" s="94"/>
      <c r="BL55" s="120">
        <f t="shared" si="67"/>
        <v>17398.363125</v>
      </c>
      <c r="BM55" s="120">
        <f t="shared" si="68"/>
        <v>8962.7931250000001</v>
      </c>
      <c r="BN55" s="120">
        <f t="shared" si="72"/>
        <v>8435.57</v>
      </c>
      <c r="BO55" s="120">
        <f t="shared" si="73"/>
        <v>208780.35749999998</v>
      </c>
    </row>
    <row r="56" spans="2:67" ht="15.75" customHeight="1" x14ac:dyDescent="0.25">
      <c r="B56" s="72" t="s">
        <v>246</v>
      </c>
      <c r="C56" s="74"/>
      <c r="D56" s="72" t="s">
        <v>163</v>
      </c>
      <c r="E56" s="72" t="s">
        <v>79</v>
      </c>
      <c r="F56" s="74">
        <v>28</v>
      </c>
      <c r="G56" s="72"/>
      <c r="H56" s="72"/>
      <c r="I56" s="72" t="s">
        <v>162</v>
      </c>
      <c r="J56" s="72" t="s">
        <v>156</v>
      </c>
      <c r="K56" s="74" t="s">
        <v>160</v>
      </c>
      <c r="L56" s="76">
        <v>14.1</v>
      </c>
      <c r="M56" s="82">
        <v>3.61</v>
      </c>
      <c r="N56" s="77">
        <v>17697</v>
      </c>
      <c r="O56" s="78">
        <f t="shared" ref="O56:O57" si="79">SUM(N56*M56)</f>
        <v>63886.17</v>
      </c>
      <c r="P56" s="74"/>
      <c r="Q56" s="88"/>
      <c r="R56" s="74"/>
      <c r="S56" s="79"/>
      <c r="T56" s="79">
        <v>1</v>
      </c>
      <c r="U56" s="79"/>
      <c r="V56" s="78"/>
      <c r="W56" s="78"/>
      <c r="X56" s="78"/>
      <c r="Y56" s="118">
        <f t="shared" si="69"/>
        <v>0</v>
      </c>
      <c r="Z56" s="118">
        <f t="shared" si="70"/>
        <v>3549.2316666666666</v>
      </c>
      <c r="AA56" s="119"/>
      <c r="AB56" s="120">
        <f>O56/18*T56</f>
        <v>3549.2316666666666</v>
      </c>
      <c r="AC56" s="120">
        <f t="shared" si="71"/>
        <v>1774.6158333333333</v>
      </c>
      <c r="AD56" s="120">
        <f t="shared" si="17"/>
        <v>1330.961875</v>
      </c>
      <c r="AE56" s="120">
        <f t="shared" si="65"/>
        <v>665.48093749999998</v>
      </c>
      <c r="AF56" s="120">
        <f t="shared" si="66"/>
        <v>7320.2903124999993</v>
      </c>
      <c r="AG56" s="46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5"/>
      <c r="AW56" s="45"/>
      <c r="AX56" s="48"/>
      <c r="AY56" s="45"/>
      <c r="AZ56" s="47"/>
      <c r="BA56" s="49"/>
      <c r="BB56" s="49"/>
      <c r="BC56" s="45"/>
      <c r="BD56" s="125"/>
      <c r="BE56" s="47"/>
      <c r="BF56" s="47"/>
      <c r="BG56" s="45"/>
      <c r="BH56" s="45"/>
      <c r="BI56" s="45"/>
      <c r="BJ56" s="45"/>
      <c r="BK56" s="94"/>
      <c r="BL56" s="120">
        <f t="shared" si="67"/>
        <v>7320.2903124999993</v>
      </c>
      <c r="BM56" s="120">
        <f t="shared" si="68"/>
        <v>3771.0586458333332</v>
      </c>
      <c r="BN56" s="120">
        <f t="shared" si="72"/>
        <v>3549.2316666666661</v>
      </c>
      <c r="BO56" s="120">
        <f t="shared" si="73"/>
        <v>87843.483749999985</v>
      </c>
    </row>
    <row r="57" spans="2:67" ht="15.75" customHeight="1" x14ac:dyDescent="0.25">
      <c r="B57" s="72" t="s">
        <v>246</v>
      </c>
      <c r="C57" s="74"/>
      <c r="D57" s="72" t="s">
        <v>117</v>
      </c>
      <c r="E57" s="72" t="s">
        <v>118</v>
      </c>
      <c r="F57" s="74">
        <v>32</v>
      </c>
      <c r="G57" s="75">
        <v>42529</v>
      </c>
      <c r="H57" s="75">
        <v>44355</v>
      </c>
      <c r="I57" s="72" t="s">
        <v>119</v>
      </c>
      <c r="J57" s="72" t="s">
        <v>106</v>
      </c>
      <c r="K57" s="74" t="s">
        <v>239</v>
      </c>
      <c r="L57" s="76">
        <v>37.01</v>
      </c>
      <c r="M57" s="76">
        <v>4.29</v>
      </c>
      <c r="N57" s="77">
        <v>17697</v>
      </c>
      <c r="O57" s="78">
        <f t="shared" si="79"/>
        <v>75920.13</v>
      </c>
      <c r="P57" s="74"/>
      <c r="Q57" s="74"/>
      <c r="R57" s="74"/>
      <c r="S57" s="78"/>
      <c r="T57" s="78">
        <v>2</v>
      </c>
      <c r="U57" s="99"/>
      <c r="V57" s="78"/>
      <c r="W57" s="78"/>
      <c r="X57" s="78"/>
      <c r="Y57" s="118">
        <f t="shared" ref="Y57" si="80">O57/18*S57</f>
        <v>0</v>
      </c>
      <c r="Z57" s="118">
        <f t="shared" ref="Z57" si="81">O57/18*T57</f>
        <v>8435.57</v>
      </c>
      <c r="AA57" s="125">
        <f>O57/18*U57</f>
        <v>0</v>
      </c>
      <c r="AB57" s="120">
        <f>O57/18*T57</f>
        <v>8435.57</v>
      </c>
      <c r="AC57" s="120">
        <f t="shared" ref="AC57" si="82">AB57*50%</f>
        <v>4217.7849999999999</v>
      </c>
      <c r="AD57" s="120">
        <f t="shared" ref="AD57" si="83">(AB57+AC57)*25%</f>
        <v>3163.3387499999999</v>
      </c>
      <c r="AE57" s="120">
        <f t="shared" ref="AE57" si="84">SUM(AB57+AD57+AC57)*10%</f>
        <v>1581.6693749999999</v>
      </c>
      <c r="AF57" s="120">
        <f t="shared" ref="AF57" si="85">SUM(AB57:AE57)</f>
        <v>17398.363125</v>
      </c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5"/>
      <c r="AW57" s="45"/>
      <c r="AX57" s="45"/>
      <c r="AY57" s="45"/>
      <c r="AZ57" s="47"/>
      <c r="BA57" s="45"/>
      <c r="BB57" s="45"/>
      <c r="BC57" s="45"/>
      <c r="BD57" s="125"/>
      <c r="BE57" s="45"/>
      <c r="BF57" s="45"/>
      <c r="BG57" s="45"/>
      <c r="BH57" s="45"/>
      <c r="BI57" s="45"/>
      <c r="BJ57" s="45"/>
      <c r="BK57" s="94"/>
      <c r="BL57" s="120">
        <f t="shared" si="67"/>
        <v>17398.363125</v>
      </c>
      <c r="BM57" s="120">
        <f t="shared" si="68"/>
        <v>8962.7931250000001</v>
      </c>
      <c r="BN57" s="120">
        <f t="shared" ref="BN57" si="86">BL57-BM57</f>
        <v>8435.57</v>
      </c>
      <c r="BO57" s="120">
        <f t="shared" ref="BO57" si="87">BL57*12</f>
        <v>208780.35749999998</v>
      </c>
    </row>
    <row r="58" spans="2:67" ht="15.75" customHeight="1" x14ac:dyDescent="0.25">
      <c r="B58" s="89" t="s">
        <v>176</v>
      </c>
      <c r="C58" s="74"/>
      <c r="D58" s="72"/>
      <c r="E58" s="72"/>
      <c r="F58" s="72"/>
      <c r="G58" s="72"/>
      <c r="H58" s="72"/>
      <c r="I58" s="72"/>
      <c r="J58" s="74"/>
      <c r="K58" s="74"/>
      <c r="L58" s="76"/>
      <c r="M58" s="98"/>
      <c r="N58" s="77"/>
      <c r="O58" s="94">
        <f>SUM(O59:O75)</f>
        <v>1504775.91</v>
      </c>
      <c r="P58" s="94">
        <f t="shared" ref="P58:BO58" si="88">SUM(P59:P75)</f>
        <v>0</v>
      </c>
      <c r="Q58" s="94">
        <f t="shared" si="88"/>
        <v>0</v>
      </c>
      <c r="R58" s="94">
        <f t="shared" si="88"/>
        <v>0</v>
      </c>
      <c r="S58" s="94">
        <f t="shared" si="88"/>
        <v>7</v>
      </c>
      <c r="T58" s="94">
        <f t="shared" si="88"/>
        <v>5</v>
      </c>
      <c r="U58" s="94">
        <f t="shared" si="88"/>
        <v>12</v>
      </c>
      <c r="V58" s="94">
        <f t="shared" si="88"/>
        <v>0</v>
      </c>
      <c r="W58" s="94">
        <f t="shared" si="88"/>
        <v>0</v>
      </c>
      <c r="X58" s="94">
        <f t="shared" si="88"/>
        <v>0</v>
      </c>
      <c r="Y58" s="94">
        <f t="shared" si="88"/>
        <v>33870.091666666667</v>
      </c>
      <c r="Z58" s="94">
        <f t="shared" si="88"/>
        <v>23772.97</v>
      </c>
      <c r="AA58" s="94">
        <f t="shared" si="88"/>
        <v>60799.026666666672</v>
      </c>
      <c r="AB58" s="94">
        <f t="shared" si="88"/>
        <v>118442.08833333336</v>
      </c>
      <c r="AC58" s="94">
        <f t="shared" si="88"/>
        <v>59221.044166666681</v>
      </c>
      <c r="AD58" s="94">
        <f t="shared" si="88"/>
        <v>44415.783125000002</v>
      </c>
      <c r="AE58" s="94">
        <f t="shared" si="88"/>
        <v>21295.390000000003</v>
      </c>
      <c r="AF58" s="94">
        <f t="shared" si="88"/>
        <v>243374.30562500004</v>
      </c>
      <c r="AG58" s="94">
        <f t="shared" si="88"/>
        <v>0</v>
      </c>
      <c r="AH58" s="94">
        <f t="shared" si="88"/>
        <v>0</v>
      </c>
      <c r="AI58" s="94">
        <f t="shared" si="88"/>
        <v>0</v>
      </c>
      <c r="AJ58" s="94">
        <f t="shared" si="88"/>
        <v>0</v>
      </c>
      <c r="AK58" s="94">
        <f t="shared" si="88"/>
        <v>0</v>
      </c>
      <c r="AL58" s="94">
        <f t="shared" si="88"/>
        <v>0</v>
      </c>
      <c r="AM58" s="94">
        <f t="shared" si="88"/>
        <v>0</v>
      </c>
      <c r="AN58" s="94">
        <f t="shared" si="88"/>
        <v>0</v>
      </c>
      <c r="AO58" s="94">
        <f t="shared" si="88"/>
        <v>0</v>
      </c>
      <c r="AP58" s="94">
        <f t="shared" si="88"/>
        <v>0</v>
      </c>
      <c r="AQ58" s="94">
        <f t="shared" si="88"/>
        <v>0</v>
      </c>
      <c r="AR58" s="94">
        <f t="shared" si="88"/>
        <v>0</v>
      </c>
      <c r="AS58" s="94">
        <f t="shared" si="88"/>
        <v>0</v>
      </c>
      <c r="AT58" s="94">
        <f t="shared" si="88"/>
        <v>0</v>
      </c>
      <c r="AU58" s="94">
        <f t="shared" si="88"/>
        <v>0</v>
      </c>
      <c r="AV58" s="94">
        <f t="shared" si="88"/>
        <v>0</v>
      </c>
      <c r="AW58" s="94">
        <f t="shared" si="88"/>
        <v>0</v>
      </c>
      <c r="AX58" s="94">
        <f t="shared" si="88"/>
        <v>0</v>
      </c>
      <c r="AY58" s="94">
        <f t="shared" si="88"/>
        <v>0</v>
      </c>
      <c r="AZ58" s="94">
        <f t="shared" si="88"/>
        <v>0</v>
      </c>
      <c r="BA58" s="94">
        <f t="shared" si="88"/>
        <v>0</v>
      </c>
      <c r="BB58" s="94">
        <f t="shared" si="88"/>
        <v>0</v>
      </c>
      <c r="BC58" s="94">
        <f t="shared" si="88"/>
        <v>1</v>
      </c>
      <c r="BD58" s="94">
        <f t="shared" si="88"/>
        <v>2737.5046874999998</v>
      </c>
      <c r="BE58" s="94">
        <f t="shared" si="88"/>
        <v>0</v>
      </c>
      <c r="BF58" s="94">
        <f t="shared" si="88"/>
        <v>0</v>
      </c>
      <c r="BG58" s="94">
        <f t="shared" si="88"/>
        <v>0</v>
      </c>
      <c r="BH58" s="94">
        <f t="shared" si="88"/>
        <v>0</v>
      </c>
      <c r="BI58" s="94">
        <f t="shared" si="88"/>
        <v>0</v>
      </c>
      <c r="BJ58" s="94">
        <f t="shared" si="88"/>
        <v>0</v>
      </c>
      <c r="BK58" s="94">
        <f t="shared" si="88"/>
        <v>2737.5046874999998</v>
      </c>
      <c r="BL58" s="94">
        <f t="shared" si="88"/>
        <v>246111.81031250002</v>
      </c>
      <c r="BM58" s="94">
        <f t="shared" si="88"/>
        <v>124932.21729166669</v>
      </c>
      <c r="BN58" s="94">
        <f t="shared" si="88"/>
        <v>121179.59302083334</v>
      </c>
      <c r="BO58" s="94">
        <f t="shared" si="88"/>
        <v>2953341.723749999</v>
      </c>
    </row>
    <row r="59" spans="2:67" ht="15.75" customHeight="1" x14ac:dyDescent="0.25">
      <c r="B59" s="72" t="s">
        <v>246</v>
      </c>
      <c r="C59" s="95"/>
      <c r="D59" s="72" t="s">
        <v>174</v>
      </c>
      <c r="E59" s="72" t="s">
        <v>79</v>
      </c>
      <c r="F59" s="74">
        <v>50</v>
      </c>
      <c r="G59" s="72"/>
      <c r="H59" s="72"/>
      <c r="I59" s="72" t="s">
        <v>114</v>
      </c>
      <c r="J59" s="74" t="s">
        <v>92</v>
      </c>
      <c r="K59" s="74" t="s">
        <v>87</v>
      </c>
      <c r="L59" s="76">
        <v>21.09</v>
      </c>
      <c r="M59" s="76">
        <v>5.32</v>
      </c>
      <c r="N59" s="77">
        <v>17697</v>
      </c>
      <c r="O59" s="78">
        <f t="shared" ref="O59:O60" si="89">SUM(N59*M59)</f>
        <v>94148.040000000008</v>
      </c>
      <c r="P59" s="74"/>
      <c r="Q59" s="74"/>
      <c r="R59" s="74"/>
      <c r="S59" s="78"/>
      <c r="T59" s="78"/>
      <c r="U59" s="74">
        <v>2</v>
      </c>
      <c r="V59" s="78"/>
      <c r="W59" s="78"/>
      <c r="X59" s="78"/>
      <c r="Y59" s="118"/>
      <c r="Z59" s="118">
        <f>O59/18*T59</f>
        <v>0</v>
      </c>
      <c r="AA59" s="120">
        <f>O59/18*U59</f>
        <v>10460.893333333333</v>
      </c>
      <c r="AB59" s="120">
        <f>AA59</f>
        <v>10460.893333333333</v>
      </c>
      <c r="AC59" s="120">
        <f>AB59*50%</f>
        <v>5230.4466666666667</v>
      </c>
      <c r="AD59" s="120">
        <f t="shared" ref="AD59:AD60" si="90">(AB59+AC59)*25%</f>
        <v>3922.835</v>
      </c>
      <c r="AE59" s="120">
        <f t="shared" ref="AE59:AE75" si="91">SUM(AB59+AD59+AC59)*10%</f>
        <v>1961.4175</v>
      </c>
      <c r="AF59" s="120">
        <f t="shared" ref="AF59:AF60" si="92">SUM(AB59:AE59)</f>
        <v>21575.592499999999</v>
      </c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53"/>
      <c r="AW59" s="53"/>
      <c r="AX59" s="53"/>
      <c r="AY59" s="53"/>
      <c r="AZ59" s="53"/>
      <c r="BA59" s="45"/>
      <c r="BB59" s="45"/>
      <c r="BC59" s="45"/>
      <c r="BD59" s="125"/>
      <c r="BE59" s="45"/>
      <c r="BF59" s="45"/>
      <c r="BG59" s="45"/>
      <c r="BH59" s="45"/>
      <c r="BI59" s="45"/>
      <c r="BJ59" s="45"/>
      <c r="BK59" s="94"/>
      <c r="BL59" s="120">
        <f t="shared" si="67"/>
        <v>21575.592499999999</v>
      </c>
      <c r="BM59" s="120">
        <f t="shared" si="68"/>
        <v>11114.699166666665</v>
      </c>
      <c r="BN59" s="120">
        <f t="shared" si="72"/>
        <v>10460.893333333333</v>
      </c>
      <c r="BO59" s="120">
        <f t="shared" si="73"/>
        <v>258907.11</v>
      </c>
    </row>
    <row r="60" spans="2:67" ht="15.75" customHeight="1" x14ac:dyDescent="0.25">
      <c r="B60" s="72" t="s">
        <v>246</v>
      </c>
      <c r="C60" s="74"/>
      <c r="D60" s="72" t="s">
        <v>78</v>
      </c>
      <c r="E60" s="72" t="s">
        <v>79</v>
      </c>
      <c r="F60" s="74">
        <v>26</v>
      </c>
      <c r="G60" s="75">
        <v>42529</v>
      </c>
      <c r="H60" s="75">
        <v>45161</v>
      </c>
      <c r="I60" s="72" t="s">
        <v>80</v>
      </c>
      <c r="J60" s="74" t="s">
        <v>106</v>
      </c>
      <c r="K60" s="74" t="s">
        <v>81</v>
      </c>
      <c r="L60" s="76">
        <v>9.09</v>
      </c>
      <c r="M60" s="82">
        <v>4.79</v>
      </c>
      <c r="N60" s="77">
        <v>17697</v>
      </c>
      <c r="O60" s="78">
        <f t="shared" si="89"/>
        <v>84768.63</v>
      </c>
      <c r="P60" s="74"/>
      <c r="Q60" s="74"/>
      <c r="R60" s="74"/>
      <c r="S60" s="79"/>
      <c r="T60" s="79"/>
      <c r="U60" s="74">
        <v>2</v>
      </c>
      <c r="V60" s="78"/>
      <c r="W60" s="78"/>
      <c r="X60" s="78"/>
      <c r="Y60" s="118"/>
      <c r="Z60" s="118">
        <f t="shared" ref="Z60:Z75" si="93">O60/18*T60</f>
        <v>0</v>
      </c>
      <c r="AA60" s="120">
        <f t="shared" ref="AA60:AA66" si="94">O60/18*U60</f>
        <v>9418.7366666666676</v>
      </c>
      <c r="AB60" s="120">
        <f t="shared" ref="AB60:AB66" si="95">AA60</f>
        <v>9418.7366666666676</v>
      </c>
      <c r="AC60" s="120">
        <f t="shared" ref="AC60:AC75" si="96">AB60*50%</f>
        <v>4709.3683333333338</v>
      </c>
      <c r="AD60" s="120">
        <f t="shared" si="90"/>
        <v>3532.0262500000003</v>
      </c>
      <c r="AE60" s="120">
        <f t="shared" si="91"/>
        <v>1766.0131250000004</v>
      </c>
      <c r="AF60" s="120">
        <f t="shared" si="92"/>
        <v>19426.144375000003</v>
      </c>
      <c r="AG60" s="46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5"/>
      <c r="AW60" s="45"/>
      <c r="AX60" s="45"/>
      <c r="AY60" s="45"/>
      <c r="AZ60" s="47"/>
      <c r="BA60" s="49"/>
      <c r="BB60" s="49"/>
      <c r="BC60" s="45"/>
      <c r="BD60" s="125"/>
      <c r="BE60" s="45"/>
      <c r="BF60" s="45"/>
      <c r="BG60" s="45"/>
      <c r="BH60" s="45"/>
      <c r="BI60" s="45"/>
      <c r="BJ60" s="45"/>
      <c r="BK60" s="94"/>
      <c r="BL60" s="120">
        <f t="shared" si="67"/>
        <v>19426.144375000003</v>
      </c>
      <c r="BM60" s="120">
        <f t="shared" si="68"/>
        <v>10007.407708333336</v>
      </c>
      <c r="BN60" s="120">
        <f t="shared" si="72"/>
        <v>9418.7366666666676</v>
      </c>
      <c r="BO60" s="120">
        <f t="shared" si="73"/>
        <v>233113.73250000004</v>
      </c>
    </row>
    <row r="61" spans="2:67" s="117" customFormat="1" ht="15.75" customHeight="1" x14ac:dyDescent="0.25">
      <c r="B61" s="72" t="s">
        <v>246</v>
      </c>
      <c r="C61" s="114"/>
      <c r="D61" s="142" t="s">
        <v>104</v>
      </c>
      <c r="E61" s="81" t="s">
        <v>79</v>
      </c>
      <c r="F61" s="114">
        <v>53</v>
      </c>
      <c r="G61" s="143">
        <v>43335</v>
      </c>
      <c r="H61" s="143">
        <v>45161</v>
      </c>
      <c r="I61" s="81" t="s">
        <v>105</v>
      </c>
      <c r="J61" s="81" t="s">
        <v>106</v>
      </c>
      <c r="K61" s="114" t="s">
        <v>81</v>
      </c>
      <c r="L61" s="96">
        <v>14.05</v>
      </c>
      <c r="M61" s="96">
        <v>4.95</v>
      </c>
      <c r="N61" s="144">
        <v>17697</v>
      </c>
      <c r="O61" s="145">
        <f t="shared" ref="O61:O65" si="97">SUM(N61*M61)</f>
        <v>87600.150000000009</v>
      </c>
      <c r="P61" s="100"/>
      <c r="Q61" s="100"/>
      <c r="R61" s="115"/>
      <c r="S61" s="100"/>
      <c r="T61" s="100"/>
      <c r="U61" s="100">
        <v>1</v>
      </c>
      <c r="V61" s="100"/>
      <c r="W61" s="100"/>
      <c r="X61" s="100"/>
      <c r="Y61" s="146"/>
      <c r="Z61" s="146">
        <f t="shared" si="93"/>
        <v>0</v>
      </c>
      <c r="AA61" s="147">
        <f t="shared" si="94"/>
        <v>4866.6750000000002</v>
      </c>
      <c r="AB61" s="147">
        <f t="shared" si="95"/>
        <v>4866.6750000000002</v>
      </c>
      <c r="AC61" s="147">
        <f t="shared" si="96"/>
        <v>2433.3375000000001</v>
      </c>
      <c r="AD61" s="147">
        <f t="shared" si="17"/>
        <v>1825.0031250000002</v>
      </c>
      <c r="AE61" s="147"/>
      <c r="AF61" s="147">
        <f t="shared" si="66"/>
        <v>9125.015625</v>
      </c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0"/>
      <c r="AW61" s="150"/>
      <c r="AX61" s="150"/>
      <c r="AY61" s="150"/>
      <c r="AZ61" s="149"/>
      <c r="BA61" s="153"/>
      <c r="BB61" s="153"/>
      <c r="BC61" s="153">
        <v>1</v>
      </c>
      <c r="BD61" s="125">
        <f>(AB61+AC61+AD61)*30%</f>
        <v>2737.5046874999998</v>
      </c>
      <c r="BE61" s="153"/>
      <c r="BF61" s="153"/>
      <c r="BG61" s="153"/>
      <c r="BH61" s="153"/>
      <c r="BI61" s="153"/>
      <c r="BJ61" s="153"/>
      <c r="BK61" s="152">
        <f>BD61</f>
        <v>2737.5046874999998</v>
      </c>
      <c r="BL61" s="147">
        <f>AF61+BK61</f>
        <v>11862.520312500001</v>
      </c>
      <c r="BM61" s="147">
        <f t="shared" si="68"/>
        <v>4258.3406250000007</v>
      </c>
      <c r="BN61" s="147">
        <f t="shared" si="72"/>
        <v>7604.1796875</v>
      </c>
      <c r="BO61" s="147">
        <f t="shared" si="73"/>
        <v>142350.24375000002</v>
      </c>
    </row>
    <row r="62" spans="2:67" ht="15.75" customHeight="1" x14ac:dyDescent="0.25">
      <c r="B62" s="72" t="s">
        <v>246</v>
      </c>
      <c r="C62" s="74"/>
      <c r="D62" s="72" t="s">
        <v>127</v>
      </c>
      <c r="E62" s="72" t="s">
        <v>79</v>
      </c>
      <c r="F62" s="74">
        <v>55</v>
      </c>
      <c r="G62" s="72" t="s">
        <v>128</v>
      </c>
      <c r="H62" s="72" t="s">
        <v>97</v>
      </c>
      <c r="I62" s="72" t="s">
        <v>85</v>
      </c>
      <c r="J62" s="72" t="s">
        <v>86</v>
      </c>
      <c r="K62" s="74" t="s">
        <v>87</v>
      </c>
      <c r="L62" s="76">
        <v>32.03</v>
      </c>
      <c r="M62" s="76">
        <v>5.41</v>
      </c>
      <c r="N62" s="77">
        <v>17697</v>
      </c>
      <c r="O62" s="78">
        <f t="shared" si="97"/>
        <v>95740.77</v>
      </c>
      <c r="P62" s="74"/>
      <c r="Q62" s="74"/>
      <c r="R62" s="74"/>
      <c r="S62" s="79"/>
      <c r="T62" s="79"/>
      <c r="U62" s="74">
        <v>1</v>
      </c>
      <c r="V62" s="78"/>
      <c r="W62" s="78"/>
      <c r="X62" s="78"/>
      <c r="Y62" s="118"/>
      <c r="Z62" s="118">
        <f t="shared" si="93"/>
        <v>0</v>
      </c>
      <c r="AA62" s="120">
        <f t="shared" si="94"/>
        <v>5318.9316666666673</v>
      </c>
      <c r="AB62" s="120">
        <f t="shared" si="95"/>
        <v>5318.9316666666673</v>
      </c>
      <c r="AC62" s="120">
        <f t="shared" si="96"/>
        <v>2659.4658333333336</v>
      </c>
      <c r="AD62" s="120">
        <f t="shared" ref="AD62:AD63" si="98">(AB62+AC62)*25%</f>
        <v>1994.5993750000002</v>
      </c>
      <c r="AE62" s="120">
        <f t="shared" si="91"/>
        <v>997.29968750000012</v>
      </c>
      <c r="AF62" s="120">
        <f t="shared" ref="AF62:AF63" si="99">SUM(AB62:AE62)</f>
        <v>10970.296562500002</v>
      </c>
      <c r="AG62" s="46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53"/>
      <c r="AW62" s="53"/>
      <c r="AX62" s="53"/>
      <c r="AY62" s="53"/>
      <c r="AZ62" s="53"/>
      <c r="BA62" s="49"/>
      <c r="BB62" s="49"/>
      <c r="BC62" s="45"/>
      <c r="BD62" s="79"/>
      <c r="BE62" s="47"/>
      <c r="BF62" s="51"/>
      <c r="BG62" s="47"/>
      <c r="BH62" s="47"/>
      <c r="BI62" s="47"/>
      <c r="BJ62" s="47"/>
      <c r="BK62" s="94"/>
      <c r="BL62" s="120">
        <f t="shared" si="67"/>
        <v>10970.296562500002</v>
      </c>
      <c r="BM62" s="120">
        <f t="shared" si="68"/>
        <v>5651.3648958333333</v>
      </c>
      <c r="BN62" s="120">
        <f t="shared" si="72"/>
        <v>5318.9316666666682</v>
      </c>
      <c r="BO62" s="120">
        <f t="shared" si="73"/>
        <v>131643.55875000003</v>
      </c>
    </row>
    <row r="63" spans="2:67" ht="15.75" customHeight="1" x14ac:dyDescent="0.25">
      <c r="B63" s="72" t="s">
        <v>246</v>
      </c>
      <c r="C63" s="73"/>
      <c r="D63" s="72" t="s">
        <v>151</v>
      </c>
      <c r="E63" s="72" t="s">
        <v>79</v>
      </c>
      <c r="F63" s="74">
        <v>33</v>
      </c>
      <c r="G63" s="75">
        <v>42529</v>
      </c>
      <c r="H63" s="75">
        <v>44355</v>
      </c>
      <c r="I63" s="72" t="s">
        <v>152</v>
      </c>
      <c r="J63" s="72" t="s">
        <v>235</v>
      </c>
      <c r="K63" s="74" t="s">
        <v>148</v>
      </c>
      <c r="L63" s="76">
        <v>16.010000000000002</v>
      </c>
      <c r="M63" s="76">
        <v>4.99</v>
      </c>
      <c r="N63" s="77">
        <v>17697</v>
      </c>
      <c r="O63" s="78">
        <f t="shared" si="97"/>
        <v>88308.03</v>
      </c>
      <c r="P63" s="74"/>
      <c r="Q63" s="74"/>
      <c r="R63" s="74"/>
      <c r="S63" s="79"/>
      <c r="T63" s="79"/>
      <c r="U63" s="74">
        <v>1</v>
      </c>
      <c r="V63" s="78"/>
      <c r="W63" s="78"/>
      <c r="X63" s="78"/>
      <c r="Y63" s="118"/>
      <c r="Z63" s="118">
        <f t="shared" si="93"/>
        <v>0</v>
      </c>
      <c r="AA63" s="120">
        <f t="shared" si="94"/>
        <v>4906.001666666667</v>
      </c>
      <c r="AB63" s="120">
        <f t="shared" si="95"/>
        <v>4906.001666666667</v>
      </c>
      <c r="AC63" s="120">
        <f t="shared" si="96"/>
        <v>2453.0008333333335</v>
      </c>
      <c r="AD63" s="120">
        <f t="shared" si="98"/>
        <v>1839.7506250000001</v>
      </c>
      <c r="AE63" s="120">
        <f t="shared" si="91"/>
        <v>919.87531250000018</v>
      </c>
      <c r="AF63" s="120">
        <f t="shared" si="99"/>
        <v>10118.628437500001</v>
      </c>
      <c r="AG63" s="46"/>
      <c r="AH63" s="47"/>
      <c r="AI63" s="47"/>
      <c r="AJ63" s="47"/>
      <c r="AK63" s="47"/>
      <c r="AL63" s="47"/>
      <c r="AM63" s="47"/>
      <c r="AN63" s="47"/>
      <c r="AO63" s="47"/>
      <c r="AP63" s="51"/>
      <c r="AQ63" s="47"/>
      <c r="AR63" s="51"/>
      <c r="AS63" s="47"/>
      <c r="AT63" s="51"/>
      <c r="AU63" s="47"/>
      <c r="AV63" s="45"/>
      <c r="AW63" s="45"/>
      <c r="AX63" s="48"/>
      <c r="AY63" s="45"/>
      <c r="AZ63" s="47"/>
      <c r="BA63" s="49"/>
      <c r="BB63" s="49"/>
      <c r="BC63" s="45"/>
      <c r="BD63" s="79"/>
      <c r="BE63" s="47"/>
      <c r="BF63" s="47"/>
      <c r="BG63" s="74"/>
      <c r="BH63" s="74"/>
      <c r="BI63" s="45"/>
      <c r="BJ63" s="45"/>
      <c r="BK63" s="78"/>
      <c r="BL63" s="120">
        <f t="shared" si="67"/>
        <v>10118.628437500001</v>
      </c>
      <c r="BM63" s="120">
        <f t="shared" si="68"/>
        <v>5212.6267708333344</v>
      </c>
      <c r="BN63" s="120">
        <f t="shared" si="72"/>
        <v>4906.001666666667</v>
      </c>
      <c r="BO63" s="120">
        <f t="shared" si="73"/>
        <v>121423.54125000001</v>
      </c>
    </row>
    <row r="64" spans="2:67" ht="15.75" customHeight="1" x14ac:dyDescent="0.25">
      <c r="B64" s="72" t="s">
        <v>246</v>
      </c>
      <c r="C64" s="74"/>
      <c r="D64" s="72" t="s">
        <v>96</v>
      </c>
      <c r="E64" s="72" t="s">
        <v>79</v>
      </c>
      <c r="F64" s="74">
        <v>56</v>
      </c>
      <c r="G64" s="75">
        <v>43458</v>
      </c>
      <c r="H64" s="72" t="s">
        <v>97</v>
      </c>
      <c r="I64" s="72" t="s">
        <v>98</v>
      </c>
      <c r="J64" s="72" t="s">
        <v>86</v>
      </c>
      <c r="K64" s="74" t="s">
        <v>87</v>
      </c>
      <c r="L64" s="76">
        <v>22.09</v>
      </c>
      <c r="M64" s="76">
        <v>5.32</v>
      </c>
      <c r="N64" s="77">
        <v>17697</v>
      </c>
      <c r="O64" s="78">
        <f t="shared" ref="O64" si="100">SUM(N64*M64)</f>
        <v>94148.040000000008</v>
      </c>
      <c r="P64" s="74"/>
      <c r="Q64" s="74"/>
      <c r="R64" s="74"/>
      <c r="S64" s="79"/>
      <c r="T64" s="79"/>
      <c r="U64" s="74">
        <v>2</v>
      </c>
      <c r="V64" s="78"/>
      <c r="W64" s="78"/>
      <c r="X64" s="78"/>
      <c r="Y64" s="118"/>
      <c r="Z64" s="118">
        <f t="shared" si="93"/>
        <v>0</v>
      </c>
      <c r="AA64" s="120">
        <f t="shared" si="94"/>
        <v>10460.893333333333</v>
      </c>
      <c r="AB64" s="120">
        <f t="shared" si="95"/>
        <v>10460.893333333333</v>
      </c>
      <c r="AC64" s="120">
        <f t="shared" si="96"/>
        <v>5230.4466666666667</v>
      </c>
      <c r="AD64" s="120">
        <f t="shared" ref="AD64:AD66" si="101">(AB64+AC64)*25%</f>
        <v>3922.835</v>
      </c>
      <c r="AE64" s="120">
        <f t="shared" si="91"/>
        <v>1961.4175</v>
      </c>
      <c r="AF64" s="120">
        <f t="shared" ref="AF64:AF66" si="102">SUM(AB64:AE64)</f>
        <v>21575.592499999999</v>
      </c>
      <c r="AG64" s="46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5"/>
      <c r="AW64" s="45"/>
      <c r="AX64" s="48"/>
      <c r="AY64" s="45"/>
      <c r="AZ64" s="47"/>
      <c r="BA64" s="49"/>
      <c r="BB64" s="49"/>
      <c r="BC64" s="45"/>
      <c r="BD64" s="79"/>
      <c r="BE64" s="47"/>
      <c r="BF64" s="47"/>
      <c r="BG64" s="79"/>
      <c r="BH64" s="79"/>
      <c r="BI64" s="47"/>
      <c r="BJ64" s="47"/>
      <c r="BK64" s="78"/>
      <c r="BL64" s="120">
        <f t="shared" si="67"/>
        <v>21575.592499999999</v>
      </c>
      <c r="BM64" s="120">
        <f t="shared" si="68"/>
        <v>11114.699166666665</v>
      </c>
      <c r="BN64" s="120">
        <f t="shared" si="72"/>
        <v>10460.893333333333</v>
      </c>
      <c r="BO64" s="120">
        <f t="shared" si="73"/>
        <v>258907.11</v>
      </c>
    </row>
    <row r="65" spans="1:134" ht="15.75" customHeight="1" x14ac:dyDescent="0.25">
      <c r="B65" s="72" t="s">
        <v>246</v>
      </c>
      <c r="C65" s="74"/>
      <c r="D65" s="85" t="s">
        <v>109</v>
      </c>
      <c r="E65" s="72" t="s">
        <v>79</v>
      </c>
      <c r="F65" s="74">
        <v>21</v>
      </c>
      <c r="G65" s="75"/>
      <c r="H65" s="72"/>
      <c r="I65" s="72" t="s">
        <v>110</v>
      </c>
      <c r="J65" s="72" t="s">
        <v>106</v>
      </c>
      <c r="K65" s="74" t="s">
        <v>87</v>
      </c>
      <c r="L65" s="76">
        <v>21.08</v>
      </c>
      <c r="M65" s="82">
        <v>5.32</v>
      </c>
      <c r="N65" s="77">
        <v>17697</v>
      </c>
      <c r="O65" s="78">
        <f t="shared" si="97"/>
        <v>94148.040000000008</v>
      </c>
      <c r="P65" s="74"/>
      <c r="Q65" s="88"/>
      <c r="R65" s="74"/>
      <c r="S65" s="79"/>
      <c r="T65" s="79"/>
      <c r="U65" s="74">
        <v>2</v>
      </c>
      <c r="V65" s="78"/>
      <c r="W65" s="78"/>
      <c r="X65" s="78"/>
      <c r="Y65" s="118"/>
      <c r="Z65" s="118">
        <f t="shared" si="93"/>
        <v>0</v>
      </c>
      <c r="AA65" s="120">
        <f t="shared" si="94"/>
        <v>10460.893333333333</v>
      </c>
      <c r="AB65" s="120">
        <f t="shared" si="95"/>
        <v>10460.893333333333</v>
      </c>
      <c r="AC65" s="120">
        <f t="shared" si="96"/>
        <v>5230.4466666666667</v>
      </c>
      <c r="AD65" s="120">
        <f t="shared" si="101"/>
        <v>3922.835</v>
      </c>
      <c r="AE65" s="120">
        <f t="shared" si="91"/>
        <v>1961.4175</v>
      </c>
      <c r="AF65" s="120">
        <f t="shared" ref="AF65" si="103">SUM(AB65:AE65)</f>
        <v>21575.592499999999</v>
      </c>
      <c r="AG65" s="46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5"/>
      <c r="AW65" s="45"/>
      <c r="AX65" s="50"/>
      <c r="AY65" s="45"/>
      <c r="AZ65" s="47"/>
      <c r="BA65" s="49"/>
      <c r="BB65" s="49"/>
      <c r="BC65" s="45"/>
      <c r="BD65" s="79"/>
      <c r="BE65" s="47"/>
      <c r="BF65" s="47"/>
      <c r="BG65" s="45"/>
      <c r="BH65" s="45"/>
      <c r="BI65" s="45"/>
      <c r="BJ65" s="45"/>
      <c r="BK65" s="94"/>
      <c r="BL65" s="120">
        <f t="shared" si="67"/>
        <v>21575.592499999999</v>
      </c>
      <c r="BM65" s="120">
        <f t="shared" si="68"/>
        <v>11114.699166666665</v>
      </c>
      <c r="BN65" s="120">
        <f t="shared" si="72"/>
        <v>10460.893333333333</v>
      </c>
      <c r="BO65" s="120">
        <f t="shared" si="73"/>
        <v>258907.11</v>
      </c>
    </row>
    <row r="66" spans="1:134" ht="15.75" customHeight="1" x14ac:dyDescent="0.25">
      <c r="B66" s="72" t="s">
        <v>246</v>
      </c>
      <c r="C66" s="73"/>
      <c r="D66" s="72" t="s">
        <v>151</v>
      </c>
      <c r="E66" s="72" t="s">
        <v>79</v>
      </c>
      <c r="F66" s="74">
        <v>33</v>
      </c>
      <c r="G66" s="75">
        <v>42529</v>
      </c>
      <c r="H66" s="75">
        <v>44355</v>
      </c>
      <c r="I66" s="72" t="s">
        <v>152</v>
      </c>
      <c r="J66" s="72" t="s">
        <v>235</v>
      </c>
      <c r="K66" s="74" t="s">
        <v>148</v>
      </c>
      <c r="L66" s="76">
        <v>16.010000000000002</v>
      </c>
      <c r="M66" s="76">
        <v>4.99</v>
      </c>
      <c r="N66" s="77">
        <v>17697</v>
      </c>
      <c r="O66" s="78">
        <f t="shared" ref="O66" si="104">SUM(N66*M66)</f>
        <v>88308.03</v>
      </c>
      <c r="P66" s="74"/>
      <c r="Q66" s="74"/>
      <c r="R66" s="74"/>
      <c r="S66" s="78"/>
      <c r="T66" s="78"/>
      <c r="U66" s="74">
        <v>1</v>
      </c>
      <c r="V66" s="78"/>
      <c r="W66" s="78"/>
      <c r="X66" s="78"/>
      <c r="Y66" s="118"/>
      <c r="Z66" s="118">
        <f t="shared" si="93"/>
        <v>0</v>
      </c>
      <c r="AA66" s="120">
        <f t="shared" si="94"/>
        <v>4906.001666666667</v>
      </c>
      <c r="AB66" s="120">
        <f t="shared" si="95"/>
        <v>4906.001666666667</v>
      </c>
      <c r="AC66" s="120">
        <f t="shared" si="96"/>
        <v>2453.0008333333335</v>
      </c>
      <c r="AD66" s="120">
        <f t="shared" si="101"/>
        <v>1839.7506250000001</v>
      </c>
      <c r="AE66" s="120">
        <f t="shared" si="91"/>
        <v>919.87531250000018</v>
      </c>
      <c r="AF66" s="120">
        <f t="shared" si="102"/>
        <v>10118.628437500001</v>
      </c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5"/>
      <c r="AW66" s="45"/>
      <c r="AX66" s="45"/>
      <c r="AY66" s="45"/>
      <c r="AZ66" s="47"/>
      <c r="BA66" s="45"/>
      <c r="BB66" s="45"/>
      <c r="BC66" s="45"/>
      <c r="BD66" s="74"/>
      <c r="BE66" s="45"/>
      <c r="BF66" s="45"/>
      <c r="BG66" s="45"/>
      <c r="BH66" s="45"/>
      <c r="BI66" s="45"/>
      <c r="BJ66" s="45"/>
      <c r="BK66" s="94"/>
      <c r="BL66" s="120">
        <f t="shared" si="67"/>
        <v>10118.628437500001</v>
      </c>
      <c r="BM66" s="120">
        <f t="shared" si="68"/>
        <v>5212.6267708333344</v>
      </c>
      <c r="BN66" s="120">
        <f t="shared" si="72"/>
        <v>4906.001666666667</v>
      </c>
      <c r="BO66" s="120">
        <f t="shared" si="73"/>
        <v>121423.54125000001</v>
      </c>
    </row>
    <row r="67" spans="1:134" ht="15.75" customHeight="1" x14ac:dyDescent="0.25">
      <c r="B67" s="72" t="s">
        <v>246</v>
      </c>
      <c r="C67" s="74"/>
      <c r="D67" s="72" t="s">
        <v>125</v>
      </c>
      <c r="E67" s="72" t="s">
        <v>79</v>
      </c>
      <c r="F67" s="74">
        <v>48</v>
      </c>
      <c r="G67" s="75">
        <v>43335</v>
      </c>
      <c r="H67" s="75">
        <v>45161</v>
      </c>
      <c r="I67" s="72" t="s">
        <v>101</v>
      </c>
      <c r="J67" s="72" t="s">
        <v>92</v>
      </c>
      <c r="K67" s="74" t="s">
        <v>87</v>
      </c>
      <c r="L67" s="84">
        <v>17.05</v>
      </c>
      <c r="M67" s="76">
        <v>5.24</v>
      </c>
      <c r="N67" s="77">
        <v>17697</v>
      </c>
      <c r="O67" s="78">
        <f t="shared" ref="O67:O75" si="105">SUM(N67*M67)</f>
        <v>92732.28</v>
      </c>
      <c r="P67" s="74"/>
      <c r="Q67" s="74"/>
      <c r="R67" s="74"/>
      <c r="S67" s="78">
        <v>1</v>
      </c>
      <c r="T67" s="78"/>
      <c r="U67" s="74"/>
      <c r="V67" s="78"/>
      <c r="W67" s="78"/>
      <c r="X67" s="78"/>
      <c r="Y67" s="118">
        <f>O67/18*S67</f>
        <v>5151.7933333333331</v>
      </c>
      <c r="Z67" s="118">
        <f t="shared" si="93"/>
        <v>0</v>
      </c>
      <c r="AA67" s="78"/>
      <c r="AB67" s="120">
        <f>Y67</f>
        <v>5151.7933333333331</v>
      </c>
      <c r="AC67" s="120">
        <f t="shared" si="96"/>
        <v>2575.8966666666665</v>
      </c>
      <c r="AD67" s="120">
        <f t="shared" si="17"/>
        <v>1931.9224999999999</v>
      </c>
      <c r="AE67" s="120">
        <f t="shared" si="91"/>
        <v>965.96124999999995</v>
      </c>
      <c r="AF67" s="120">
        <f t="shared" si="66"/>
        <v>10625.57375</v>
      </c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5"/>
      <c r="AW67" s="45"/>
      <c r="AX67" s="45"/>
      <c r="AY67" s="45"/>
      <c r="AZ67" s="47"/>
      <c r="BA67" s="45"/>
      <c r="BB67" s="45"/>
      <c r="BC67" s="45"/>
      <c r="BD67" s="74"/>
      <c r="BE67" s="45"/>
      <c r="BF67" s="45"/>
      <c r="BG67" s="45"/>
      <c r="BH67" s="45"/>
      <c r="BI67" s="45"/>
      <c r="BJ67" s="45"/>
      <c r="BK67" s="94"/>
      <c r="BL67" s="120">
        <f t="shared" si="67"/>
        <v>10625.57375</v>
      </c>
      <c r="BM67" s="120">
        <f t="shared" si="68"/>
        <v>5473.7804166666665</v>
      </c>
      <c r="BN67" s="120">
        <f t="shared" si="72"/>
        <v>5151.7933333333331</v>
      </c>
      <c r="BO67" s="120">
        <f t="shared" si="73"/>
        <v>127506.88499999999</v>
      </c>
    </row>
    <row r="68" spans="1:134" ht="15.75" customHeight="1" x14ac:dyDescent="0.25">
      <c r="B68" s="72" t="s">
        <v>246</v>
      </c>
      <c r="C68" s="74"/>
      <c r="D68" s="72" t="s">
        <v>199</v>
      </c>
      <c r="E68" s="72" t="s">
        <v>79</v>
      </c>
      <c r="F68" s="74">
        <v>14</v>
      </c>
      <c r="G68" s="75">
        <v>42823</v>
      </c>
      <c r="H68" s="75">
        <v>44740</v>
      </c>
      <c r="I68" s="72" t="s">
        <v>101</v>
      </c>
      <c r="J68" s="72" t="s">
        <v>156</v>
      </c>
      <c r="K68" s="74" t="s">
        <v>157</v>
      </c>
      <c r="L68" s="76">
        <v>9.01</v>
      </c>
      <c r="M68" s="76">
        <v>4.33</v>
      </c>
      <c r="N68" s="77">
        <v>17697</v>
      </c>
      <c r="O68" s="78">
        <f t="shared" si="105"/>
        <v>76628.009999999995</v>
      </c>
      <c r="P68" s="79"/>
      <c r="Q68" s="74"/>
      <c r="R68" s="74"/>
      <c r="S68" s="79">
        <v>1</v>
      </c>
      <c r="T68" s="79"/>
      <c r="U68" s="74"/>
      <c r="V68" s="78"/>
      <c r="W68" s="78"/>
      <c r="X68" s="78"/>
      <c r="Y68" s="118">
        <f t="shared" ref="Y68:Y75" si="106">O68/18*S68</f>
        <v>4257.1116666666667</v>
      </c>
      <c r="Z68" s="118">
        <f t="shared" si="93"/>
        <v>0</v>
      </c>
      <c r="AA68" s="79"/>
      <c r="AB68" s="120">
        <f t="shared" ref="AB68:AB75" si="107">Y68</f>
        <v>4257.1116666666667</v>
      </c>
      <c r="AC68" s="120">
        <f t="shared" si="96"/>
        <v>2128.5558333333333</v>
      </c>
      <c r="AD68" s="120">
        <f t="shared" si="17"/>
        <v>1596.4168749999999</v>
      </c>
      <c r="AE68" s="120">
        <f t="shared" si="91"/>
        <v>798.20843750000006</v>
      </c>
      <c r="AF68" s="120">
        <f t="shared" si="66"/>
        <v>8780.2928124999999</v>
      </c>
      <c r="AG68" s="46"/>
      <c r="AH68" s="50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5"/>
      <c r="AW68" s="45"/>
      <c r="AX68" s="48"/>
      <c r="AY68" s="45"/>
      <c r="AZ68" s="47"/>
      <c r="BA68" s="49"/>
      <c r="BB68" s="49"/>
      <c r="BC68" s="45"/>
      <c r="BD68" s="79"/>
      <c r="BE68" s="47"/>
      <c r="BF68" s="47"/>
      <c r="BG68" s="47"/>
      <c r="BH68" s="47"/>
      <c r="BI68" s="47"/>
      <c r="BJ68" s="47"/>
      <c r="BK68" s="94"/>
      <c r="BL68" s="120">
        <f t="shared" si="67"/>
        <v>8780.2928124999999</v>
      </c>
      <c r="BM68" s="120">
        <f t="shared" si="68"/>
        <v>4523.1811458333332</v>
      </c>
      <c r="BN68" s="120">
        <f t="shared" si="72"/>
        <v>4257.1116666666667</v>
      </c>
      <c r="BO68" s="120">
        <f t="shared" si="73"/>
        <v>105363.51375</v>
      </c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</row>
    <row r="69" spans="1:134" ht="15.75" customHeight="1" x14ac:dyDescent="0.25">
      <c r="B69" s="72" t="s">
        <v>246</v>
      </c>
      <c r="C69" s="74"/>
      <c r="D69" s="72" t="s">
        <v>199</v>
      </c>
      <c r="E69" s="72" t="s">
        <v>79</v>
      </c>
      <c r="F69" s="74">
        <v>14</v>
      </c>
      <c r="G69" s="75">
        <v>42823</v>
      </c>
      <c r="H69" s="75">
        <v>44740</v>
      </c>
      <c r="I69" s="72" t="s">
        <v>101</v>
      </c>
      <c r="J69" s="72" t="s">
        <v>156</v>
      </c>
      <c r="K69" s="74" t="s">
        <v>157</v>
      </c>
      <c r="L69" s="76">
        <v>9.01</v>
      </c>
      <c r="M69" s="76">
        <v>4.33</v>
      </c>
      <c r="N69" s="77">
        <v>17697</v>
      </c>
      <c r="O69" s="78">
        <f t="shared" si="105"/>
        <v>76628.009999999995</v>
      </c>
      <c r="P69" s="79"/>
      <c r="Q69" s="74"/>
      <c r="R69" s="74"/>
      <c r="S69" s="79">
        <v>1</v>
      </c>
      <c r="T69" s="79"/>
      <c r="U69" s="74"/>
      <c r="V69" s="78"/>
      <c r="W69" s="78"/>
      <c r="X69" s="78"/>
      <c r="Y69" s="118">
        <f t="shared" si="106"/>
        <v>4257.1116666666667</v>
      </c>
      <c r="Z69" s="118">
        <f t="shared" si="93"/>
        <v>0</v>
      </c>
      <c r="AA69" s="79"/>
      <c r="AB69" s="120">
        <f t="shared" si="107"/>
        <v>4257.1116666666667</v>
      </c>
      <c r="AC69" s="120">
        <f t="shared" si="96"/>
        <v>2128.5558333333333</v>
      </c>
      <c r="AD69" s="120">
        <f t="shared" si="17"/>
        <v>1596.4168749999999</v>
      </c>
      <c r="AE69" s="120">
        <f t="shared" si="91"/>
        <v>798.20843750000006</v>
      </c>
      <c r="AF69" s="120">
        <f t="shared" si="66"/>
        <v>8780.2928124999999</v>
      </c>
      <c r="AG69" s="46"/>
      <c r="AH69" s="50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5"/>
      <c r="AW69" s="52"/>
      <c r="AX69" s="45"/>
      <c r="AY69" s="45"/>
      <c r="AZ69" s="47"/>
      <c r="BA69" s="49"/>
      <c r="BB69" s="49"/>
      <c r="BC69" s="45"/>
      <c r="BD69" s="79"/>
      <c r="BE69" s="47"/>
      <c r="BF69" s="47"/>
      <c r="BG69" s="47"/>
      <c r="BH69" s="47"/>
      <c r="BI69" s="47"/>
      <c r="BJ69" s="47"/>
      <c r="BK69" s="94"/>
      <c r="BL69" s="120">
        <f t="shared" si="67"/>
        <v>8780.2928124999999</v>
      </c>
      <c r="BM69" s="120">
        <f t="shared" si="68"/>
        <v>4523.1811458333332</v>
      </c>
      <c r="BN69" s="120">
        <f t="shared" si="72"/>
        <v>4257.1116666666667</v>
      </c>
      <c r="BO69" s="120">
        <f t="shared" si="73"/>
        <v>105363.51375</v>
      </c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</row>
    <row r="70" spans="1:134" ht="15.75" customHeight="1" x14ac:dyDescent="0.25">
      <c r="B70" s="72" t="s">
        <v>246</v>
      </c>
      <c r="C70" s="74"/>
      <c r="D70" s="72" t="s">
        <v>117</v>
      </c>
      <c r="E70" s="72" t="s">
        <v>118</v>
      </c>
      <c r="F70" s="74">
        <v>32</v>
      </c>
      <c r="G70" s="75">
        <v>42529</v>
      </c>
      <c r="H70" s="75">
        <v>44355</v>
      </c>
      <c r="I70" s="72" t="s">
        <v>119</v>
      </c>
      <c r="J70" s="72" t="s">
        <v>106</v>
      </c>
      <c r="K70" s="74" t="s">
        <v>239</v>
      </c>
      <c r="L70" s="76">
        <v>37.01</v>
      </c>
      <c r="M70" s="76">
        <v>4.29</v>
      </c>
      <c r="N70" s="77">
        <v>17697</v>
      </c>
      <c r="O70" s="78">
        <f t="shared" si="105"/>
        <v>75920.13</v>
      </c>
      <c r="P70" s="74"/>
      <c r="Q70" s="88"/>
      <c r="R70" s="74"/>
      <c r="S70" s="78"/>
      <c r="T70" s="78">
        <v>2</v>
      </c>
      <c r="U70" s="74"/>
      <c r="V70" s="78"/>
      <c r="W70" s="78"/>
      <c r="X70" s="78"/>
      <c r="Y70" s="118">
        <f t="shared" si="106"/>
        <v>0</v>
      </c>
      <c r="Z70" s="118">
        <f t="shared" si="93"/>
        <v>8435.57</v>
      </c>
      <c r="AA70" s="78"/>
      <c r="AB70" s="120">
        <f>Z70</f>
        <v>8435.57</v>
      </c>
      <c r="AC70" s="120">
        <f t="shared" si="96"/>
        <v>4217.7849999999999</v>
      </c>
      <c r="AD70" s="120">
        <f t="shared" si="17"/>
        <v>3163.3387499999999</v>
      </c>
      <c r="AE70" s="120">
        <f t="shared" si="91"/>
        <v>1581.6693749999999</v>
      </c>
      <c r="AF70" s="120">
        <f t="shared" si="66"/>
        <v>17398.363125</v>
      </c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5"/>
      <c r="AW70" s="52"/>
      <c r="AX70" s="45"/>
      <c r="AY70" s="45"/>
      <c r="AZ70" s="47"/>
      <c r="BA70" s="45"/>
      <c r="BB70" s="45"/>
      <c r="BC70" s="45"/>
      <c r="BD70" s="74"/>
      <c r="BE70" s="45"/>
      <c r="BF70" s="45"/>
      <c r="BG70" s="45"/>
      <c r="BH70" s="45"/>
      <c r="BI70" s="45"/>
      <c r="BJ70" s="45"/>
      <c r="BK70" s="94"/>
      <c r="BL70" s="120">
        <f t="shared" si="67"/>
        <v>17398.363125</v>
      </c>
      <c r="BM70" s="120">
        <f t="shared" si="68"/>
        <v>8962.7931250000001</v>
      </c>
      <c r="BN70" s="120">
        <f t="shared" si="72"/>
        <v>8435.57</v>
      </c>
      <c r="BO70" s="120">
        <f t="shared" si="73"/>
        <v>208780.35749999998</v>
      </c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</row>
    <row r="71" spans="1:134" s="110" customFormat="1" ht="15.75" customHeight="1" x14ac:dyDescent="0.25">
      <c r="A71" s="13"/>
      <c r="B71" s="72" t="s">
        <v>246</v>
      </c>
      <c r="C71" s="74"/>
      <c r="D71" s="6" t="s">
        <v>100</v>
      </c>
      <c r="E71" s="72" t="s">
        <v>79</v>
      </c>
      <c r="F71" s="74">
        <v>48</v>
      </c>
      <c r="G71" s="75">
        <v>43335</v>
      </c>
      <c r="H71" s="75">
        <v>45161</v>
      </c>
      <c r="I71" s="72" t="s">
        <v>101</v>
      </c>
      <c r="J71" s="72" t="s">
        <v>92</v>
      </c>
      <c r="K71" s="74" t="s">
        <v>87</v>
      </c>
      <c r="L71" s="84">
        <v>17.05</v>
      </c>
      <c r="M71" s="76">
        <v>5.24</v>
      </c>
      <c r="N71" s="77">
        <v>17697</v>
      </c>
      <c r="O71" s="78">
        <f t="shared" si="105"/>
        <v>92732.28</v>
      </c>
      <c r="P71" s="74"/>
      <c r="Q71" s="74"/>
      <c r="R71" s="74"/>
      <c r="S71" s="79">
        <v>1</v>
      </c>
      <c r="T71" s="79"/>
      <c r="U71" s="74"/>
      <c r="V71" s="78"/>
      <c r="W71" s="78"/>
      <c r="X71" s="78"/>
      <c r="Y71" s="121">
        <f t="shared" si="106"/>
        <v>5151.7933333333331</v>
      </c>
      <c r="Z71" s="121">
        <f t="shared" si="93"/>
        <v>0</v>
      </c>
      <c r="AA71" s="79"/>
      <c r="AB71" s="120">
        <f t="shared" si="107"/>
        <v>5151.7933333333331</v>
      </c>
      <c r="AC71" s="120">
        <f t="shared" si="96"/>
        <v>2575.8966666666665</v>
      </c>
      <c r="AD71" s="120">
        <f t="shared" ref="AD71" si="108">(AB71+AC71)*25%</f>
        <v>1931.9224999999999</v>
      </c>
      <c r="AE71" s="120">
        <f t="shared" si="91"/>
        <v>965.96124999999995</v>
      </c>
      <c r="AF71" s="120">
        <f t="shared" ref="AF71" si="109">SUM(AB71:AE71)</f>
        <v>10625.57375</v>
      </c>
      <c r="AG71" s="46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5"/>
      <c r="AW71" s="45"/>
      <c r="AX71" s="45"/>
      <c r="AY71" s="45"/>
      <c r="AZ71" s="47"/>
      <c r="BA71" s="49"/>
      <c r="BB71" s="49"/>
      <c r="BC71" s="45"/>
      <c r="BD71" s="79"/>
      <c r="BE71" s="47"/>
      <c r="BF71" s="51"/>
      <c r="BG71" s="47"/>
      <c r="BH71" s="47"/>
      <c r="BI71" s="47"/>
      <c r="BJ71" s="47"/>
      <c r="BK71" s="94"/>
      <c r="BL71" s="120">
        <f t="shared" si="67"/>
        <v>10625.57375</v>
      </c>
      <c r="BM71" s="120">
        <f t="shared" si="68"/>
        <v>5473.7804166666665</v>
      </c>
      <c r="BN71" s="120">
        <f t="shared" si="72"/>
        <v>5151.7933333333331</v>
      </c>
      <c r="BO71" s="120">
        <f t="shared" si="73"/>
        <v>127506.88499999999</v>
      </c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</row>
    <row r="72" spans="1:134" ht="15.75" customHeight="1" x14ac:dyDescent="0.25">
      <c r="A72" s="13"/>
      <c r="B72" s="72" t="s">
        <v>246</v>
      </c>
      <c r="C72" s="74"/>
      <c r="D72" s="6" t="s">
        <v>125</v>
      </c>
      <c r="E72" s="72" t="s">
        <v>79</v>
      </c>
      <c r="F72" s="74">
        <v>51</v>
      </c>
      <c r="G72" s="75">
        <v>43335</v>
      </c>
      <c r="H72" s="75">
        <v>45161</v>
      </c>
      <c r="I72" s="72" t="s">
        <v>101</v>
      </c>
      <c r="J72" s="72" t="s">
        <v>92</v>
      </c>
      <c r="K72" s="74" t="s">
        <v>87</v>
      </c>
      <c r="L72" s="84">
        <v>29.11</v>
      </c>
      <c r="M72" s="76">
        <v>5.41</v>
      </c>
      <c r="N72" s="77">
        <v>17697</v>
      </c>
      <c r="O72" s="78">
        <f t="shared" si="105"/>
        <v>95740.77</v>
      </c>
      <c r="P72" s="74"/>
      <c r="Q72" s="74"/>
      <c r="R72" s="74"/>
      <c r="S72" s="79">
        <v>1</v>
      </c>
      <c r="T72" s="78"/>
      <c r="U72" s="74"/>
      <c r="V72" s="78"/>
      <c r="W72" s="78"/>
      <c r="X72" s="78"/>
      <c r="Y72" s="121">
        <f t="shared" si="106"/>
        <v>5318.9316666666673</v>
      </c>
      <c r="Z72" s="121">
        <f t="shared" si="93"/>
        <v>0</v>
      </c>
      <c r="AA72" s="79"/>
      <c r="AB72" s="120">
        <f t="shared" si="107"/>
        <v>5318.9316666666673</v>
      </c>
      <c r="AC72" s="120">
        <f t="shared" si="96"/>
        <v>2659.4658333333336</v>
      </c>
      <c r="AD72" s="120">
        <f t="shared" si="17"/>
        <v>1994.5993750000002</v>
      </c>
      <c r="AE72" s="120">
        <f t="shared" si="91"/>
        <v>997.29968750000012</v>
      </c>
      <c r="AF72" s="120">
        <f t="shared" si="66"/>
        <v>10970.296562500002</v>
      </c>
      <c r="AG72" s="46"/>
      <c r="AH72" s="50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51"/>
      <c r="AW72" s="50"/>
      <c r="AX72" s="48"/>
      <c r="AY72" s="45"/>
      <c r="AZ72" s="47"/>
      <c r="BA72" s="49"/>
      <c r="BB72" s="49"/>
      <c r="BC72" s="45"/>
      <c r="BD72" s="79"/>
      <c r="BE72" s="47"/>
      <c r="BF72" s="47"/>
      <c r="BG72" s="47"/>
      <c r="BH72" s="47"/>
      <c r="BI72" s="47"/>
      <c r="BJ72" s="47"/>
      <c r="BK72" s="94"/>
      <c r="BL72" s="120">
        <f t="shared" si="67"/>
        <v>10970.296562500002</v>
      </c>
      <c r="BM72" s="120">
        <f t="shared" si="68"/>
        <v>5651.3648958333333</v>
      </c>
      <c r="BN72" s="120">
        <f t="shared" si="72"/>
        <v>5318.9316666666682</v>
      </c>
      <c r="BO72" s="120">
        <f t="shared" si="73"/>
        <v>131643.55875000003</v>
      </c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</row>
    <row r="73" spans="1:134" ht="15.75" customHeight="1" x14ac:dyDescent="0.25">
      <c r="A73" s="13"/>
      <c r="B73" s="72" t="s">
        <v>246</v>
      </c>
      <c r="C73" s="74"/>
      <c r="D73" s="72" t="s">
        <v>131</v>
      </c>
      <c r="E73" s="72" t="s">
        <v>79</v>
      </c>
      <c r="F73" s="74">
        <v>19</v>
      </c>
      <c r="G73" s="72"/>
      <c r="H73" s="72"/>
      <c r="I73" s="72" t="s">
        <v>101</v>
      </c>
      <c r="J73" s="72" t="s">
        <v>106</v>
      </c>
      <c r="K73" s="74" t="s">
        <v>81</v>
      </c>
      <c r="L73" s="76">
        <v>14.09</v>
      </c>
      <c r="M73" s="76">
        <v>4.95</v>
      </c>
      <c r="N73" s="77">
        <v>17697</v>
      </c>
      <c r="O73" s="78">
        <f t="shared" si="105"/>
        <v>87600.150000000009</v>
      </c>
      <c r="P73" s="74"/>
      <c r="Q73" s="74"/>
      <c r="R73" s="74"/>
      <c r="S73" s="79">
        <v>1</v>
      </c>
      <c r="T73" s="79"/>
      <c r="U73" s="74"/>
      <c r="V73" s="78"/>
      <c r="W73" s="78"/>
      <c r="X73" s="78"/>
      <c r="Y73" s="121">
        <f t="shared" si="106"/>
        <v>4866.6750000000002</v>
      </c>
      <c r="Z73" s="121">
        <f t="shared" si="93"/>
        <v>0</v>
      </c>
      <c r="AA73" s="79"/>
      <c r="AB73" s="120">
        <f t="shared" si="107"/>
        <v>4866.6750000000002</v>
      </c>
      <c r="AC73" s="120">
        <f t="shared" si="96"/>
        <v>2433.3375000000001</v>
      </c>
      <c r="AD73" s="120">
        <f t="shared" ref="AD73" si="110">(AB73+AC73)*25%</f>
        <v>1825.0031250000002</v>
      </c>
      <c r="AE73" s="120">
        <f t="shared" si="91"/>
        <v>912.50156250000009</v>
      </c>
      <c r="AF73" s="120">
        <f t="shared" ref="AF73" si="111">SUM(AB73:AE73)</f>
        <v>10037.5171875</v>
      </c>
      <c r="AG73" s="46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5"/>
      <c r="AW73" s="45"/>
      <c r="AX73" s="48"/>
      <c r="AY73" s="45"/>
      <c r="AZ73" s="47"/>
      <c r="BA73" s="49"/>
      <c r="BB73" s="49"/>
      <c r="BC73" s="45"/>
      <c r="BD73" s="79"/>
      <c r="BE73" s="47"/>
      <c r="BF73" s="47"/>
      <c r="BG73" s="79"/>
      <c r="BH73" s="79"/>
      <c r="BI73" s="47"/>
      <c r="BJ73" s="47"/>
      <c r="BK73" s="78"/>
      <c r="BL73" s="120">
        <f t="shared" si="67"/>
        <v>10037.5171875</v>
      </c>
      <c r="BM73" s="120">
        <f t="shared" si="68"/>
        <v>5170.8421875000004</v>
      </c>
      <c r="BN73" s="120">
        <f t="shared" si="72"/>
        <v>4866.6749999999993</v>
      </c>
      <c r="BO73" s="120">
        <f t="shared" si="73"/>
        <v>120450.20624999999</v>
      </c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</row>
    <row r="74" spans="1:134" ht="15.75" customHeight="1" x14ac:dyDescent="0.25">
      <c r="A74" s="13"/>
      <c r="B74" s="72" t="s">
        <v>246</v>
      </c>
      <c r="C74" s="74"/>
      <c r="D74" s="72" t="s">
        <v>194</v>
      </c>
      <c r="E74" s="72" t="s">
        <v>79</v>
      </c>
      <c r="F74" s="74">
        <v>30</v>
      </c>
      <c r="G74" s="72" t="s">
        <v>136</v>
      </c>
      <c r="H74" s="72" t="s">
        <v>137</v>
      </c>
      <c r="I74" s="72" t="s">
        <v>138</v>
      </c>
      <c r="J74" s="72" t="s">
        <v>106</v>
      </c>
      <c r="K74" s="74" t="s">
        <v>81</v>
      </c>
      <c r="L74" s="76">
        <v>32.049999999999997</v>
      </c>
      <c r="M74" s="76">
        <v>5.2</v>
      </c>
      <c r="N74" s="77">
        <v>17697</v>
      </c>
      <c r="O74" s="78">
        <f t="shared" si="105"/>
        <v>92024.400000000009</v>
      </c>
      <c r="P74" s="74"/>
      <c r="Q74" s="79"/>
      <c r="R74" s="74"/>
      <c r="S74" s="101"/>
      <c r="T74" s="78">
        <v>3</v>
      </c>
      <c r="U74" s="74"/>
      <c r="V74" s="78"/>
      <c r="W74" s="78"/>
      <c r="X74" s="78"/>
      <c r="Y74" s="121">
        <f t="shared" si="106"/>
        <v>0</v>
      </c>
      <c r="Z74" s="121">
        <f t="shared" si="93"/>
        <v>15337.400000000001</v>
      </c>
      <c r="AA74" s="78"/>
      <c r="AB74" s="120">
        <f>Z74</f>
        <v>15337.400000000001</v>
      </c>
      <c r="AC74" s="120">
        <f t="shared" si="96"/>
        <v>7668.7000000000007</v>
      </c>
      <c r="AD74" s="120">
        <f t="shared" si="17"/>
        <v>5751.5250000000005</v>
      </c>
      <c r="AE74" s="120">
        <f t="shared" si="91"/>
        <v>2875.7625000000007</v>
      </c>
      <c r="AF74" s="120">
        <f t="shared" si="66"/>
        <v>31633.387500000004</v>
      </c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5"/>
      <c r="AW74" s="45"/>
      <c r="AX74" s="48"/>
      <c r="AY74" s="45"/>
      <c r="AZ74" s="47"/>
      <c r="BA74" s="45"/>
      <c r="BB74" s="45"/>
      <c r="BC74" s="45"/>
      <c r="BD74" s="74"/>
      <c r="BE74" s="45"/>
      <c r="BF74" s="45"/>
      <c r="BG74" s="45"/>
      <c r="BH74" s="45"/>
      <c r="BI74" s="45"/>
      <c r="BJ74" s="45"/>
      <c r="BK74" s="94"/>
      <c r="BL74" s="120">
        <f t="shared" si="67"/>
        <v>31633.387500000004</v>
      </c>
      <c r="BM74" s="120">
        <f t="shared" si="68"/>
        <v>16295.987500000003</v>
      </c>
      <c r="BN74" s="120">
        <f t="shared" si="72"/>
        <v>15337.400000000001</v>
      </c>
      <c r="BO74" s="120">
        <f t="shared" si="73"/>
        <v>379600.65</v>
      </c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</row>
    <row r="75" spans="1:134" s="110" customFormat="1" ht="15.75" customHeight="1" x14ac:dyDescent="0.25">
      <c r="A75" s="13"/>
      <c r="B75" s="72" t="s">
        <v>246</v>
      </c>
      <c r="C75" s="74"/>
      <c r="D75" s="72" t="s">
        <v>131</v>
      </c>
      <c r="E75" s="72" t="s">
        <v>79</v>
      </c>
      <c r="F75" s="74">
        <v>19</v>
      </c>
      <c r="G75" s="72" t="s">
        <v>132</v>
      </c>
      <c r="H75" s="72" t="s">
        <v>133</v>
      </c>
      <c r="I75" s="72" t="s">
        <v>101</v>
      </c>
      <c r="J75" s="72" t="s">
        <v>106</v>
      </c>
      <c r="K75" s="74" t="s">
        <v>81</v>
      </c>
      <c r="L75" s="76">
        <v>14.09</v>
      </c>
      <c r="M75" s="76">
        <v>4.95</v>
      </c>
      <c r="N75" s="77">
        <v>17697</v>
      </c>
      <c r="O75" s="78">
        <f t="shared" si="105"/>
        <v>87600.150000000009</v>
      </c>
      <c r="P75" s="74"/>
      <c r="Q75" s="74"/>
      <c r="R75" s="74"/>
      <c r="S75" s="79">
        <v>1</v>
      </c>
      <c r="T75" s="79"/>
      <c r="U75" s="74"/>
      <c r="V75" s="78"/>
      <c r="W75" s="78"/>
      <c r="X75" s="78"/>
      <c r="Y75" s="121">
        <f t="shared" si="106"/>
        <v>4866.6750000000002</v>
      </c>
      <c r="Z75" s="121">
        <f t="shared" si="93"/>
        <v>0</v>
      </c>
      <c r="AA75" s="79"/>
      <c r="AB75" s="120">
        <f t="shared" si="107"/>
        <v>4866.6750000000002</v>
      </c>
      <c r="AC75" s="120">
        <f t="shared" si="96"/>
        <v>2433.3375000000001</v>
      </c>
      <c r="AD75" s="120">
        <f t="shared" si="17"/>
        <v>1825.0031250000002</v>
      </c>
      <c r="AE75" s="120">
        <f t="shared" si="91"/>
        <v>912.50156250000009</v>
      </c>
      <c r="AF75" s="120">
        <f t="shared" si="66"/>
        <v>10037.5171875</v>
      </c>
      <c r="AG75" s="46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5"/>
      <c r="AW75" s="45"/>
      <c r="AX75" s="45"/>
      <c r="AY75" s="45"/>
      <c r="AZ75" s="47"/>
      <c r="BA75" s="49"/>
      <c r="BB75" s="49"/>
      <c r="BC75" s="45"/>
      <c r="BD75" s="79"/>
      <c r="BE75" s="47"/>
      <c r="BF75" s="47"/>
      <c r="BG75" s="47"/>
      <c r="BH75" s="47"/>
      <c r="BI75" s="47"/>
      <c r="BJ75" s="47"/>
      <c r="BK75" s="94"/>
      <c r="BL75" s="120">
        <f t="shared" si="67"/>
        <v>10037.5171875</v>
      </c>
      <c r="BM75" s="120">
        <f t="shared" si="68"/>
        <v>5170.8421875000004</v>
      </c>
      <c r="BN75" s="120">
        <f t="shared" si="72"/>
        <v>4866.6749999999993</v>
      </c>
      <c r="BO75" s="120">
        <f t="shared" si="73"/>
        <v>120450.20624999999</v>
      </c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</row>
    <row r="76" spans="1:134" ht="15.75" customHeight="1" x14ac:dyDescent="0.25">
      <c r="A76" s="13"/>
      <c r="B76" s="89" t="s">
        <v>183</v>
      </c>
      <c r="C76" s="74"/>
      <c r="D76" s="72"/>
      <c r="E76" s="72"/>
      <c r="F76" s="72"/>
      <c r="G76" s="72"/>
      <c r="H76" s="72"/>
      <c r="I76" s="72"/>
      <c r="J76" s="74"/>
      <c r="K76" s="74"/>
      <c r="L76" s="76"/>
      <c r="M76" s="100"/>
      <c r="N76" s="92"/>
      <c r="O76" s="94">
        <f>SUM(O77:O79)</f>
        <v>273241.68000000005</v>
      </c>
      <c r="P76" s="94">
        <f t="shared" ref="P76:BO76" si="112">SUM(P77:P79)</f>
        <v>3</v>
      </c>
      <c r="Q76" s="94">
        <f t="shared" si="112"/>
        <v>0</v>
      </c>
      <c r="R76" s="94">
        <f t="shared" si="112"/>
        <v>0</v>
      </c>
      <c r="S76" s="94">
        <f t="shared" si="112"/>
        <v>0</v>
      </c>
      <c r="T76" s="94">
        <f t="shared" si="112"/>
        <v>0</v>
      </c>
      <c r="U76" s="94">
        <f t="shared" si="112"/>
        <v>0</v>
      </c>
      <c r="V76" s="94">
        <f t="shared" si="112"/>
        <v>11385.07</v>
      </c>
      <c r="W76" s="94">
        <f t="shared" si="112"/>
        <v>0</v>
      </c>
      <c r="X76" s="94">
        <f t="shared" si="112"/>
        <v>0</v>
      </c>
      <c r="Y76" s="94">
        <f t="shared" si="112"/>
        <v>0</v>
      </c>
      <c r="Z76" s="94">
        <f t="shared" si="112"/>
        <v>0</v>
      </c>
      <c r="AA76" s="94">
        <f t="shared" si="112"/>
        <v>0</v>
      </c>
      <c r="AB76" s="94">
        <f t="shared" si="112"/>
        <v>11385.07</v>
      </c>
      <c r="AC76" s="94">
        <f t="shared" si="112"/>
        <v>5692.5349999999999</v>
      </c>
      <c r="AD76" s="94">
        <f t="shared" si="112"/>
        <v>4269.4012500000008</v>
      </c>
      <c r="AE76" s="94">
        <f t="shared" si="112"/>
        <v>2134.7006250000004</v>
      </c>
      <c r="AF76" s="94">
        <f t="shared" si="112"/>
        <v>23481.706875</v>
      </c>
      <c r="AG76" s="94">
        <f t="shared" si="112"/>
        <v>0</v>
      </c>
      <c r="AH76" s="94">
        <f t="shared" si="112"/>
        <v>0</v>
      </c>
      <c r="AI76" s="94">
        <f t="shared" si="112"/>
        <v>0</v>
      </c>
      <c r="AJ76" s="94">
        <f t="shared" si="112"/>
        <v>0</v>
      </c>
      <c r="AK76" s="94">
        <f t="shared" si="112"/>
        <v>0</v>
      </c>
      <c r="AL76" s="94">
        <f t="shared" si="112"/>
        <v>0</v>
      </c>
      <c r="AM76" s="94">
        <f t="shared" si="112"/>
        <v>0</v>
      </c>
      <c r="AN76" s="94">
        <f t="shared" si="112"/>
        <v>0</v>
      </c>
      <c r="AO76" s="94">
        <f t="shared" si="112"/>
        <v>0</v>
      </c>
      <c r="AP76" s="94">
        <f t="shared" si="112"/>
        <v>0</v>
      </c>
      <c r="AQ76" s="94">
        <f t="shared" si="112"/>
        <v>0</v>
      </c>
      <c r="AR76" s="94">
        <f t="shared" si="112"/>
        <v>0</v>
      </c>
      <c r="AS76" s="94">
        <f t="shared" si="112"/>
        <v>0</v>
      </c>
      <c r="AT76" s="94">
        <f t="shared" si="112"/>
        <v>0</v>
      </c>
      <c r="AU76" s="94">
        <f t="shared" si="112"/>
        <v>0</v>
      </c>
      <c r="AV76" s="94">
        <f t="shared" si="112"/>
        <v>0</v>
      </c>
      <c r="AW76" s="94">
        <f t="shared" si="112"/>
        <v>0</v>
      </c>
      <c r="AX76" s="94">
        <f t="shared" si="112"/>
        <v>0</v>
      </c>
      <c r="AY76" s="94">
        <f t="shared" si="112"/>
        <v>0</v>
      </c>
      <c r="AZ76" s="94">
        <f t="shared" si="112"/>
        <v>0</v>
      </c>
      <c r="BA76" s="94">
        <f t="shared" si="112"/>
        <v>0</v>
      </c>
      <c r="BB76" s="94">
        <f t="shared" si="112"/>
        <v>0</v>
      </c>
      <c r="BC76" s="94">
        <f t="shared" si="112"/>
        <v>0</v>
      </c>
      <c r="BD76" s="94">
        <f t="shared" si="112"/>
        <v>0</v>
      </c>
      <c r="BE76" s="94">
        <f t="shared" si="112"/>
        <v>0</v>
      </c>
      <c r="BF76" s="94">
        <f t="shared" si="112"/>
        <v>0</v>
      </c>
      <c r="BG76" s="94">
        <f t="shared" si="112"/>
        <v>0</v>
      </c>
      <c r="BH76" s="94">
        <f t="shared" si="112"/>
        <v>0</v>
      </c>
      <c r="BI76" s="94">
        <f t="shared" si="112"/>
        <v>0</v>
      </c>
      <c r="BJ76" s="94">
        <f t="shared" si="112"/>
        <v>0</v>
      </c>
      <c r="BK76" s="94">
        <f t="shared" si="112"/>
        <v>0</v>
      </c>
      <c r="BL76" s="94">
        <f t="shared" si="112"/>
        <v>23481.706875</v>
      </c>
      <c r="BM76" s="94">
        <f t="shared" si="112"/>
        <v>12096.636875</v>
      </c>
      <c r="BN76" s="94">
        <f t="shared" si="112"/>
        <v>11385.07</v>
      </c>
      <c r="BO76" s="94">
        <f t="shared" si="112"/>
        <v>281780.48250000004</v>
      </c>
    </row>
    <row r="77" spans="1:134" ht="15.75" customHeight="1" x14ac:dyDescent="0.25">
      <c r="B77" s="72" t="s">
        <v>246</v>
      </c>
      <c r="C77" s="74"/>
      <c r="D77" s="72" t="s">
        <v>141</v>
      </c>
      <c r="E77" s="72" t="s">
        <v>79</v>
      </c>
      <c r="F77" s="74">
        <v>29</v>
      </c>
      <c r="G77" s="72" t="s">
        <v>136</v>
      </c>
      <c r="H77" s="72" t="s">
        <v>137</v>
      </c>
      <c r="I77" s="72" t="s">
        <v>101</v>
      </c>
      <c r="J77" s="72" t="s">
        <v>79</v>
      </c>
      <c r="K77" s="74" t="s">
        <v>87</v>
      </c>
      <c r="L77" s="76">
        <v>38.03</v>
      </c>
      <c r="M77" s="76">
        <v>5.41</v>
      </c>
      <c r="N77" s="77">
        <v>17697</v>
      </c>
      <c r="O77" s="78">
        <f t="shared" ref="O77:O79" si="113">SUM(N77*M77)</f>
        <v>95740.77</v>
      </c>
      <c r="P77" s="74">
        <v>1</v>
      </c>
      <c r="Q77" s="74"/>
      <c r="R77" s="74"/>
      <c r="S77" s="74"/>
      <c r="T77" s="74"/>
      <c r="U77" s="74"/>
      <c r="V77" s="120">
        <f>O77/24*P77</f>
        <v>3989.19875</v>
      </c>
      <c r="W77" s="78"/>
      <c r="X77" s="78"/>
      <c r="Y77" s="78"/>
      <c r="Z77" s="78"/>
      <c r="AA77" s="78"/>
      <c r="AB77" s="120">
        <f>V77</f>
        <v>3989.19875</v>
      </c>
      <c r="AC77" s="120">
        <f>AB77*50%</f>
        <v>1994.599375</v>
      </c>
      <c r="AD77" s="120">
        <f t="shared" si="17"/>
        <v>1495.9495312500001</v>
      </c>
      <c r="AE77" s="120">
        <f t="shared" si="65"/>
        <v>747.97476562500003</v>
      </c>
      <c r="AF77" s="120">
        <f t="shared" si="66"/>
        <v>8227.7224218749998</v>
      </c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53"/>
      <c r="AW77" s="53"/>
      <c r="AX77" s="53"/>
      <c r="AY77" s="53"/>
      <c r="AZ77" s="53"/>
      <c r="BA77" s="45"/>
      <c r="BB77" s="45"/>
      <c r="BC77" s="45"/>
      <c r="BD77" s="74"/>
      <c r="BE77" s="45"/>
      <c r="BF77" s="45"/>
      <c r="BG77" s="45"/>
      <c r="BH77" s="106"/>
      <c r="BI77" s="79"/>
      <c r="BJ77" s="79"/>
      <c r="BK77" s="94"/>
      <c r="BL77" s="120">
        <f t="shared" si="67"/>
        <v>8227.7224218749998</v>
      </c>
      <c r="BM77" s="120">
        <f t="shared" si="68"/>
        <v>4238.5236718750002</v>
      </c>
      <c r="BN77" s="120">
        <f t="shared" si="72"/>
        <v>3989.1987499999996</v>
      </c>
      <c r="BO77" s="120">
        <f t="shared" si="73"/>
        <v>98732.669062500005</v>
      </c>
    </row>
    <row r="78" spans="1:134" ht="15.75" customHeight="1" x14ac:dyDescent="0.25">
      <c r="B78" s="72" t="s">
        <v>246</v>
      </c>
      <c r="C78" s="74"/>
      <c r="D78" s="72" t="s">
        <v>146</v>
      </c>
      <c r="E78" s="72" t="s">
        <v>79</v>
      </c>
      <c r="F78" s="74">
        <v>25</v>
      </c>
      <c r="G78" s="75">
        <v>43831</v>
      </c>
      <c r="H78" s="75">
        <v>45658</v>
      </c>
      <c r="I78" s="87" t="s">
        <v>147</v>
      </c>
      <c r="J78" s="72" t="s">
        <v>106</v>
      </c>
      <c r="K78" s="74" t="s">
        <v>81</v>
      </c>
      <c r="L78" s="76">
        <v>8.0500000000000007</v>
      </c>
      <c r="M78" s="76">
        <v>4.79</v>
      </c>
      <c r="N78" s="77">
        <v>17697</v>
      </c>
      <c r="O78" s="78">
        <f t="shared" si="113"/>
        <v>84768.63</v>
      </c>
      <c r="P78" s="74">
        <v>1</v>
      </c>
      <c r="Q78" s="74"/>
      <c r="R78" s="74"/>
      <c r="S78" s="74"/>
      <c r="T78" s="74"/>
      <c r="U78" s="74"/>
      <c r="V78" s="120">
        <f t="shared" ref="V78:V79" si="114">O78/24*P78</f>
        <v>3532.0262500000003</v>
      </c>
      <c r="W78" s="78"/>
      <c r="X78" s="78"/>
      <c r="Y78" s="78"/>
      <c r="Z78" s="78"/>
      <c r="AA78" s="78"/>
      <c r="AB78" s="120">
        <f t="shared" ref="AB78:AB79" si="115">V78</f>
        <v>3532.0262500000003</v>
      </c>
      <c r="AC78" s="120">
        <f t="shared" ref="AC78:AC79" si="116">AB78*50%</f>
        <v>1766.0131250000002</v>
      </c>
      <c r="AD78" s="120">
        <f t="shared" si="17"/>
        <v>1324.5098437500001</v>
      </c>
      <c r="AE78" s="120">
        <f t="shared" si="65"/>
        <v>662.25492187500015</v>
      </c>
      <c r="AF78" s="120">
        <f t="shared" ref="AF78:AF79" si="117">SUM(AB78:AE78)</f>
        <v>7284.8041406250004</v>
      </c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5"/>
      <c r="AW78" s="45"/>
      <c r="AX78" s="48"/>
      <c r="AY78" s="45"/>
      <c r="AZ78" s="47"/>
      <c r="BA78" s="45"/>
      <c r="BB78" s="45"/>
      <c r="BC78" s="45"/>
      <c r="BD78" s="45"/>
      <c r="BE78" s="45"/>
      <c r="BF78" s="45"/>
      <c r="BG78" s="45"/>
      <c r="BH78" s="106"/>
      <c r="BI78" s="79"/>
      <c r="BJ78" s="79"/>
      <c r="BK78" s="94"/>
      <c r="BL78" s="120">
        <f t="shared" si="67"/>
        <v>7284.8041406250004</v>
      </c>
      <c r="BM78" s="120">
        <f t="shared" si="68"/>
        <v>3752.7778906250005</v>
      </c>
      <c r="BN78" s="120">
        <f t="shared" si="72"/>
        <v>3532.0262499999999</v>
      </c>
      <c r="BO78" s="120">
        <f t="shared" si="73"/>
        <v>87417.649687500001</v>
      </c>
    </row>
    <row r="79" spans="1:134" ht="15.75" customHeight="1" x14ac:dyDescent="0.25">
      <c r="B79" s="72" t="s">
        <v>246</v>
      </c>
      <c r="C79" s="74"/>
      <c r="D79" s="72" t="s">
        <v>122</v>
      </c>
      <c r="E79" s="72" t="s">
        <v>79</v>
      </c>
      <c r="F79" s="74">
        <v>49</v>
      </c>
      <c r="G79" s="75">
        <v>43335</v>
      </c>
      <c r="H79" s="75">
        <v>45161</v>
      </c>
      <c r="I79" s="72" t="s">
        <v>123</v>
      </c>
      <c r="J79" s="72" t="s">
        <v>92</v>
      </c>
      <c r="K79" s="74" t="s">
        <v>87</v>
      </c>
      <c r="L79" s="76">
        <v>17.04</v>
      </c>
      <c r="M79" s="76">
        <v>5.24</v>
      </c>
      <c r="N79" s="77">
        <v>17697</v>
      </c>
      <c r="O79" s="78">
        <f t="shared" si="113"/>
        <v>92732.28</v>
      </c>
      <c r="P79" s="74">
        <v>1</v>
      </c>
      <c r="Q79" s="74"/>
      <c r="R79" s="74"/>
      <c r="S79" s="74"/>
      <c r="T79" s="74"/>
      <c r="U79" s="74"/>
      <c r="V79" s="120">
        <f t="shared" si="114"/>
        <v>3863.8449999999998</v>
      </c>
      <c r="W79" s="78"/>
      <c r="X79" s="78"/>
      <c r="Y79" s="78"/>
      <c r="Z79" s="78"/>
      <c r="AA79" s="78"/>
      <c r="AB79" s="120">
        <f t="shared" si="115"/>
        <v>3863.8449999999998</v>
      </c>
      <c r="AC79" s="120">
        <f t="shared" si="116"/>
        <v>1931.9224999999999</v>
      </c>
      <c r="AD79" s="120">
        <f t="shared" ref="AD79" si="118">(AB79+AC79)*25%</f>
        <v>1448.941875</v>
      </c>
      <c r="AE79" s="120">
        <f t="shared" si="65"/>
        <v>724.47093749999999</v>
      </c>
      <c r="AF79" s="120">
        <f t="shared" si="117"/>
        <v>7969.1803125000006</v>
      </c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5"/>
      <c r="AW79" s="45"/>
      <c r="AX79" s="45"/>
      <c r="AY79" s="45"/>
      <c r="AZ79" s="47"/>
      <c r="BA79" s="45"/>
      <c r="BB79" s="45"/>
      <c r="BC79" s="45"/>
      <c r="BD79" s="45"/>
      <c r="BE79" s="45"/>
      <c r="BF79" s="45"/>
      <c r="BG79" s="45"/>
      <c r="BH79" s="106"/>
      <c r="BI79" s="79"/>
      <c r="BJ79" s="79"/>
      <c r="BK79" s="94"/>
      <c r="BL79" s="120">
        <f t="shared" si="67"/>
        <v>7969.1803125000006</v>
      </c>
      <c r="BM79" s="120">
        <f t="shared" si="68"/>
        <v>4105.3353125000003</v>
      </c>
      <c r="BN79" s="120">
        <f t="shared" si="72"/>
        <v>3863.8450000000003</v>
      </c>
      <c r="BO79" s="120">
        <f t="shared" si="73"/>
        <v>95630.163750000007</v>
      </c>
    </row>
    <row r="80" spans="1:134" ht="15.75" customHeight="1" x14ac:dyDescent="0.25">
      <c r="B80" s="89" t="s">
        <v>185</v>
      </c>
      <c r="C80" s="83"/>
      <c r="D80" s="72"/>
      <c r="E80" s="74"/>
      <c r="F80" s="74"/>
      <c r="G80" s="74"/>
      <c r="H80" s="74"/>
      <c r="I80" s="74"/>
      <c r="J80" s="83"/>
      <c r="K80" s="83"/>
      <c r="L80" s="83"/>
      <c r="M80" s="100"/>
      <c r="N80" s="92">
        <f>N45+N57+N76</f>
        <v>17697</v>
      </c>
      <c r="O80" s="94">
        <f>O45+O46</f>
        <v>5160976.1099999994</v>
      </c>
      <c r="P80" s="94">
        <f t="shared" ref="P80:BK80" si="119">P45+P46</f>
        <v>100</v>
      </c>
      <c r="Q80" s="94">
        <f t="shared" si="119"/>
        <v>133</v>
      </c>
      <c r="R80" s="94">
        <f t="shared" si="119"/>
        <v>62</v>
      </c>
      <c r="S80" s="94">
        <f t="shared" si="119"/>
        <v>10</v>
      </c>
      <c r="T80" s="94">
        <f t="shared" si="119"/>
        <v>14</v>
      </c>
      <c r="U80" s="94">
        <f t="shared" si="119"/>
        <v>16</v>
      </c>
      <c r="V80" s="94">
        <f t="shared" si="119"/>
        <v>494296.87333333335</v>
      </c>
      <c r="W80" s="94">
        <f t="shared" si="119"/>
        <v>666621.41083333339</v>
      </c>
      <c r="X80" s="94">
        <f t="shared" si="119"/>
        <v>301694.52333333332</v>
      </c>
      <c r="Y80" s="94">
        <f t="shared" si="119"/>
        <v>49826.886666666673</v>
      </c>
      <c r="Z80" s="94">
        <f t="shared" si="119"/>
        <v>63178.29</v>
      </c>
      <c r="AA80" s="94">
        <f t="shared" si="119"/>
        <v>78967.94666666667</v>
      </c>
      <c r="AB80" s="94">
        <f t="shared" si="119"/>
        <v>1654585.9308333329</v>
      </c>
      <c r="AC80" s="94">
        <f t="shared" si="119"/>
        <v>827292.96541666647</v>
      </c>
      <c r="AD80" s="94">
        <f t="shared" si="119"/>
        <v>620469.72406250006</v>
      </c>
      <c r="AE80" s="94">
        <f t="shared" si="119"/>
        <v>307497.35734375002</v>
      </c>
      <c r="AF80" s="94">
        <f t="shared" si="119"/>
        <v>3409845.9776562499</v>
      </c>
      <c r="AG80" s="94">
        <f t="shared" si="119"/>
        <v>0</v>
      </c>
      <c r="AH80" s="94">
        <f t="shared" si="119"/>
        <v>42.5</v>
      </c>
      <c r="AI80" s="94">
        <f t="shared" si="119"/>
        <v>16713.833333333332</v>
      </c>
      <c r="AJ80" s="94">
        <f t="shared" si="119"/>
        <v>4</v>
      </c>
      <c r="AK80" s="94">
        <f t="shared" si="119"/>
        <v>1966.5111111111109</v>
      </c>
      <c r="AL80" s="94">
        <f t="shared" si="119"/>
        <v>46.677777777777777</v>
      </c>
      <c r="AM80" s="94">
        <f t="shared" si="119"/>
        <v>18680.166666666668</v>
      </c>
      <c r="AN80" s="94">
        <f t="shared" si="119"/>
        <v>14.5</v>
      </c>
      <c r="AO80" s="94">
        <f t="shared" si="119"/>
        <v>7127.9583333333339</v>
      </c>
      <c r="AP80" s="94">
        <f t="shared" si="119"/>
        <v>14</v>
      </c>
      <c r="AQ80" s="94">
        <f t="shared" si="119"/>
        <v>15534.033333333333</v>
      </c>
      <c r="AR80" s="94">
        <f t="shared" si="119"/>
        <v>52.5</v>
      </c>
      <c r="AS80" s="94">
        <f t="shared" si="119"/>
        <v>22661.991666666665</v>
      </c>
      <c r="AT80" s="94">
        <f t="shared" si="119"/>
        <v>99</v>
      </c>
      <c r="AU80" s="94">
        <f t="shared" si="119"/>
        <v>41342.158333333333</v>
      </c>
      <c r="AV80" s="94">
        <f t="shared" si="119"/>
        <v>63</v>
      </c>
      <c r="AW80" s="94">
        <f t="shared" si="119"/>
        <v>4</v>
      </c>
      <c r="AX80" s="94">
        <f t="shared" si="119"/>
        <v>4</v>
      </c>
      <c r="AY80" s="94">
        <f t="shared" si="119"/>
        <v>2</v>
      </c>
      <c r="AZ80" s="94">
        <f t="shared" si="119"/>
        <v>109721.39999999998</v>
      </c>
      <c r="BA80" s="94">
        <f t="shared" si="119"/>
        <v>3</v>
      </c>
      <c r="BB80" s="94">
        <f t="shared" si="119"/>
        <v>10618.2</v>
      </c>
      <c r="BC80" s="94">
        <f t="shared" si="119"/>
        <v>329</v>
      </c>
      <c r="BD80" s="94">
        <f t="shared" si="119"/>
        <v>922304.04140624998</v>
      </c>
      <c r="BE80" s="94">
        <f t="shared" si="119"/>
        <v>53091</v>
      </c>
      <c r="BF80" s="94">
        <f t="shared" si="119"/>
        <v>164.5</v>
      </c>
      <c r="BG80" s="94">
        <f t="shared" si="119"/>
        <v>938601.87234374997</v>
      </c>
      <c r="BH80" s="94">
        <f t="shared" si="119"/>
        <v>12978.166666666666</v>
      </c>
      <c r="BI80" s="94">
        <f t="shared" si="119"/>
        <v>29170</v>
      </c>
      <c r="BJ80" s="94">
        <f t="shared" si="119"/>
        <v>17697</v>
      </c>
      <c r="BK80" s="94">
        <f t="shared" si="119"/>
        <v>2135523.8387500006</v>
      </c>
      <c r="BL80" s="94">
        <f t="shared" ref="BL80:BO80" si="120">BL45+BL46</f>
        <v>5545369.81640625</v>
      </c>
      <c r="BM80" s="94">
        <f t="shared" si="120"/>
        <v>2722442.5741666663</v>
      </c>
      <c r="BN80" s="94">
        <f t="shared" si="120"/>
        <v>2822927.2422395833</v>
      </c>
      <c r="BO80" s="94">
        <f t="shared" si="120"/>
        <v>66544437.796875</v>
      </c>
    </row>
    <row r="81" spans="2:67" ht="15.75" customHeight="1" x14ac:dyDescent="0.25">
      <c r="B81" s="5"/>
      <c r="C81" s="5"/>
      <c r="D81" s="3"/>
      <c r="E81" s="4"/>
      <c r="F81" s="4"/>
      <c r="G81" s="4"/>
      <c r="H81" s="4"/>
      <c r="I81" s="4"/>
      <c r="J81" s="5"/>
      <c r="K81" s="5"/>
      <c r="L81" s="5"/>
      <c r="M81" s="25"/>
      <c r="N81" s="5"/>
      <c r="O81" s="102"/>
      <c r="P81" s="5"/>
      <c r="Q81" s="2"/>
      <c r="R81" s="5"/>
      <c r="S81" s="7"/>
      <c r="T81" s="7"/>
      <c r="U81" s="7"/>
      <c r="V81" s="5"/>
      <c r="W81" s="5"/>
      <c r="X81" s="5"/>
      <c r="Y81" s="5"/>
      <c r="Z81" s="5"/>
      <c r="AA81" s="5"/>
      <c r="AB81" s="5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2"/>
      <c r="AV81" s="124"/>
      <c r="AW81" s="124"/>
      <c r="AX81" s="124"/>
      <c r="AY81" s="124"/>
      <c r="AZ81" s="124"/>
      <c r="BA81" s="12"/>
      <c r="BB81" s="12"/>
      <c r="BC81" s="13"/>
      <c r="BD81" s="13"/>
      <c r="BE81" s="13"/>
      <c r="BF81" s="13"/>
      <c r="BG81" s="13"/>
      <c r="BH81" s="13"/>
      <c r="BI81" s="13"/>
      <c r="BJ81" s="13"/>
      <c r="BK81" s="23"/>
      <c r="BL81" s="59"/>
      <c r="BM81" s="59"/>
      <c r="BN81" s="59"/>
      <c r="BO81" s="12"/>
    </row>
    <row r="82" spans="2:67" ht="15.75" customHeight="1" x14ac:dyDescent="0.25">
      <c r="B82" s="2" t="s">
        <v>216</v>
      </c>
      <c r="C82" s="17" t="s">
        <v>217</v>
      </c>
      <c r="D82" s="3"/>
      <c r="E82" s="5"/>
      <c r="F82" s="5"/>
      <c r="G82" s="217" t="s">
        <v>243</v>
      </c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5"/>
      <c r="Z82" s="5"/>
      <c r="AA82" s="5"/>
      <c r="AB82" s="5"/>
      <c r="AC82" s="13"/>
      <c r="AD82" s="60"/>
      <c r="AE82" s="13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2"/>
      <c r="AV82" s="12"/>
      <c r="AW82" s="12"/>
      <c r="AX82" s="12"/>
      <c r="AY82" s="12"/>
      <c r="AZ82" s="12"/>
      <c r="BA82" s="12"/>
      <c r="BB82" s="12"/>
      <c r="BC82" s="13"/>
      <c r="BD82" s="13"/>
      <c r="BE82" s="13"/>
      <c r="BF82" s="13"/>
      <c r="BG82" s="13"/>
      <c r="BH82" s="13"/>
      <c r="BI82" s="13"/>
      <c r="BJ82" s="13"/>
      <c r="BK82" s="60"/>
      <c r="BL82" s="62"/>
      <c r="BM82" s="62"/>
      <c r="BN82" s="62"/>
      <c r="BO82" s="60"/>
    </row>
    <row r="83" spans="2:67" ht="15.75" customHeight="1" x14ac:dyDescent="0.25">
      <c r="B83" s="2"/>
      <c r="C83" s="2"/>
      <c r="D83" s="3"/>
      <c r="E83" s="5"/>
      <c r="F83" s="5"/>
      <c r="G83" s="5"/>
      <c r="H83" s="5"/>
      <c r="I83" s="5"/>
      <c r="J83" s="61"/>
      <c r="K83" s="5"/>
      <c r="L83" s="103"/>
      <c r="M83" s="7"/>
      <c r="N83" s="2"/>
      <c r="O83" s="61"/>
      <c r="P83" s="63"/>
      <c r="Q83" s="61"/>
      <c r="R83" s="63"/>
      <c r="S83" s="7"/>
      <c r="T83" s="7"/>
      <c r="U83" s="7"/>
      <c r="V83" s="2"/>
      <c r="W83" s="5"/>
      <c r="X83" s="61"/>
      <c r="Y83" s="5"/>
      <c r="Z83" s="5"/>
      <c r="AA83" s="5"/>
      <c r="AB83" s="5"/>
      <c r="AC83" s="13"/>
      <c r="AD83" s="60"/>
      <c r="AE83" s="13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2"/>
      <c r="AV83" s="62"/>
      <c r="AW83" s="12"/>
      <c r="AX83" s="62"/>
      <c r="AY83" s="62"/>
      <c r="AZ83" s="62"/>
      <c r="BA83" s="12"/>
      <c r="BB83" s="12"/>
      <c r="BC83" s="13"/>
      <c r="BD83" s="13"/>
      <c r="BE83" s="13"/>
      <c r="BF83" s="13"/>
      <c r="BG83" s="13"/>
      <c r="BH83" s="13"/>
      <c r="BI83" s="13"/>
      <c r="BJ83" s="13"/>
      <c r="BK83" s="64"/>
      <c r="BL83" s="64"/>
      <c r="BM83" s="64"/>
      <c r="BN83" s="64"/>
      <c r="BO83" s="13"/>
    </row>
    <row r="84" spans="2:67" ht="15.75" customHeight="1" x14ac:dyDescent="0.25">
      <c r="B84" s="2" t="s">
        <v>186</v>
      </c>
      <c r="C84" s="2" t="s">
        <v>187</v>
      </c>
      <c r="D84" s="104"/>
      <c r="E84" s="5"/>
      <c r="F84" s="5"/>
      <c r="G84" s="218" t="s">
        <v>244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5"/>
      <c r="AA84" s="5"/>
      <c r="AB84" s="5"/>
      <c r="AC84" s="13"/>
      <c r="AD84" s="60"/>
      <c r="AE84" s="13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2"/>
      <c r="AV84" s="12"/>
      <c r="AW84" s="12"/>
      <c r="AX84" s="12"/>
      <c r="AY84" s="12"/>
      <c r="AZ84" s="12"/>
      <c r="BA84" s="12"/>
      <c r="BB84" s="12"/>
      <c r="BC84" s="13"/>
      <c r="BD84" s="13"/>
      <c r="BE84" s="13"/>
      <c r="BF84" s="13"/>
      <c r="BG84" s="13"/>
      <c r="BH84" s="13"/>
      <c r="BI84" s="13"/>
      <c r="BJ84" s="13"/>
      <c r="BK84" s="64"/>
      <c r="BL84" s="64"/>
      <c r="BM84" s="64"/>
      <c r="BN84" s="64"/>
      <c r="BO84" s="13"/>
    </row>
    <row r="85" spans="2:67" ht="15.75" customHeight="1" x14ac:dyDescent="0.25">
      <c r="B85" s="2"/>
      <c r="C85" s="2"/>
      <c r="D85" s="104"/>
      <c r="E85" s="4"/>
      <c r="F85" s="4"/>
      <c r="G85" s="4"/>
      <c r="H85" s="4"/>
      <c r="I85" s="4"/>
      <c r="J85" s="5"/>
      <c r="K85" s="5"/>
      <c r="L85" s="5"/>
      <c r="M85" s="25"/>
      <c r="N85" s="2"/>
      <c r="O85" s="2"/>
      <c r="P85" s="2"/>
      <c r="Q85" s="2"/>
      <c r="R85" s="2"/>
      <c r="S85" s="7"/>
      <c r="T85" s="7"/>
      <c r="U85" s="7"/>
      <c r="V85" s="2"/>
      <c r="W85" s="5"/>
      <c r="X85" s="5"/>
      <c r="Y85" s="5"/>
      <c r="Z85" s="5"/>
      <c r="AA85" s="5"/>
      <c r="AB85" s="5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2"/>
      <c r="AV85" s="12"/>
      <c r="AW85" s="12"/>
      <c r="AX85" s="12"/>
      <c r="AY85" s="12"/>
      <c r="AZ85" s="12"/>
      <c r="BA85" s="12"/>
      <c r="BB85" s="12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</row>
    <row r="86" spans="2:67" ht="15.75" customHeight="1" x14ac:dyDescent="0.25">
      <c r="B86" s="2" t="s">
        <v>188</v>
      </c>
      <c r="C86" s="2" t="s">
        <v>189</v>
      </c>
      <c r="D86" s="104"/>
      <c r="E86" s="4"/>
      <c r="F86" s="4"/>
      <c r="G86" s="4"/>
      <c r="H86" s="4"/>
      <c r="I86" s="4"/>
      <c r="J86" s="5"/>
      <c r="K86" s="5"/>
      <c r="L86" s="5"/>
      <c r="M86" s="25"/>
      <c r="N86" s="2"/>
      <c r="O86" s="2"/>
      <c r="P86" s="105"/>
      <c r="Q86" s="2"/>
      <c r="R86" s="2"/>
      <c r="S86" s="7"/>
      <c r="T86" s="7"/>
      <c r="U86" s="7"/>
      <c r="V86" s="2"/>
      <c r="W86" s="5"/>
      <c r="X86" s="5"/>
      <c r="Y86" s="5"/>
      <c r="Z86" s="5"/>
      <c r="AA86" s="5"/>
      <c r="AB86" s="5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2"/>
      <c r="AV86" s="12"/>
      <c r="AW86" s="12"/>
      <c r="AX86" s="12"/>
      <c r="AY86" s="12"/>
      <c r="AZ86" s="12"/>
      <c r="BA86" s="12"/>
      <c r="BB86" s="12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</row>
    <row r="87" spans="2:67" ht="15.75" customHeight="1" x14ac:dyDescent="0.25">
      <c r="B87" s="2"/>
      <c r="C87" s="2"/>
      <c r="D87" s="3"/>
      <c r="E87" s="4"/>
      <c r="F87" s="4"/>
      <c r="G87" s="4"/>
      <c r="H87" s="4"/>
      <c r="I87" s="4"/>
      <c r="J87" s="5"/>
      <c r="K87" s="5"/>
      <c r="L87" s="5"/>
      <c r="M87" s="25"/>
      <c r="N87" s="2"/>
      <c r="O87" s="2"/>
      <c r="P87" s="2"/>
      <c r="Q87" s="2"/>
      <c r="R87" s="2"/>
      <c r="S87" s="7"/>
      <c r="T87" s="7"/>
      <c r="U87" s="7"/>
      <c r="V87" s="2"/>
      <c r="W87" s="5"/>
      <c r="X87" s="5"/>
      <c r="Y87" s="5"/>
      <c r="Z87" s="5"/>
      <c r="AA87" s="5"/>
      <c r="AB87" s="5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65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</row>
    <row r="88" spans="2:67" ht="15.75" customHeight="1" x14ac:dyDescent="0.25">
      <c r="B88" s="2" t="s">
        <v>190</v>
      </c>
      <c r="C88" s="2" t="s">
        <v>192</v>
      </c>
      <c r="D88" s="3"/>
      <c r="E88" s="4"/>
      <c r="F88" s="4"/>
      <c r="G88" s="4"/>
      <c r="H88" s="4"/>
      <c r="I88" s="4"/>
      <c r="J88" s="5"/>
      <c r="K88" s="5"/>
      <c r="L88" s="5"/>
      <c r="M88" s="25"/>
      <c r="N88" s="5"/>
      <c r="O88" s="5"/>
      <c r="P88" s="5"/>
      <c r="Q88" s="2"/>
      <c r="R88" s="5"/>
      <c r="S88" s="7"/>
      <c r="T88" s="7"/>
      <c r="U88" s="7"/>
      <c r="V88" s="5"/>
      <c r="W88" s="5"/>
      <c r="X88" s="5"/>
      <c r="Y88" s="5"/>
      <c r="Z88" s="5"/>
      <c r="AA88" s="5"/>
      <c r="AB88" s="5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</row>
    <row r="89" spans="2:67" ht="15.75" customHeight="1" x14ac:dyDescent="0.25">
      <c r="B89" s="5"/>
      <c r="C89" s="5"/>
      <c r="D89" s="3"/>
      <c r="E89" s="4"/>
      <c r="F89" s="4"/>
      <c r="G89" s="4"/>
      <c r="H89" s="4"/>
      <c r="I89" s="4"/>
      <c r="J89" s="5"/>
      <c r="K89" s="5"/>
      <c r="L89" s="5"/>
      <c r="M89" s="25"/>
      <c r="N89" s="5"/>
      <c r="O89" s="5"/>
      <c r="P89" s="5"/>
      <c r="Q89" s="2"/>
      <c r="R89" s="5"/>
      <c r="S89" s="7"/>
      <c r="T89" s="7"/>
      <c r="U89" s="7"/>
      <c r="V89" s="5"/>
      <c r="W89" s="5"/>
      <c r="X89" s="5"/>
      <c r="Y89" s="5"/>
      <c r="Z89" s="5"/>
      <c r="AA89" s="5"/>
      <c r="AB89" s="5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</row>
    <row r="90" spans="2:67" ht="15.75" customHeight="1" x14ac:dyDescent="0.25">
      <c r="B90" s="5"/>
      <c r="C90" s="5"/>
      <c r="D90" s="3"/>
      <c r="E90" s="4"/>
      <c r="F90" s="4"/>
      <c r="G90" s="4"/>
      <c r="H90" s="4"/>
      <c r="I90" s="4"/>
      <c r="J90" s="5"/>
      <c r="K90" s="5"/>
      <c r="L90" s="5"/>
      <c r="M90" s="25"/>
      <c r="N90" s="5"/>
      <c r="O90" s="5"/>
      <c r="P90" s="5"/>
      <c r="Q90" s="2"/>
      <c r="R90" s="5"/>
      <c r="S90" s="7"/>
      <c r="T90" s="7"/>
      <c r="U90" s="7"/>
      <c r="V90" s="5"/>
      <c r="W90" s="5"/>
      <c r="X90" s="5"/>
      <c r="Y90" s="5"/>
      <c r="Z90" s="5"/>
      <c r="AA90" s="5"/>
      <c r="AB90" s="5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</row>
    <row r="91" spans="2:67" ht="15.75" customHeight="1" x14ac:dyDescent="0.25">
      <c r="B91" s="13"/>
      <c r="C91" s="13"/>
      <c r="D91" s="54"/>
      <c r="E91" s="55"/>
      <c r="F91" s="55"/>
      <c r="G91" s="55"/>
      <c r="H91" s="55"/>
      <c r="I91" s="55"/>
      <c r="J91" s="13"/>
      <c r="K91" s="13"/>
      <c r="L91" s="13"/>
      <c r="M91" s="56"/>
      <c r="N91" s="13"/>
      <c r="O91" s="57"/>
      <c r="P91" s="13"/>
      <c r="Q91" s="58"/>
      <c r="R91" s="13"/>
      <c r="S91" s="116"/>
      <c r="T91" s="116"/>
      <c r="U91" s="116"/>
      <c r="V91" s="13"/>
      <c r="W91" s="13"/>
      <c r="X91" s="13"/>
      <c r="Y91" s="13"/>
      <c r="Z91" s="13"/>
      <c r="AA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</row>
    <row r="92" spans="2:67" ht="15.75" customHeight="1" x14ac:dyDescent="0.25">
      <c r="B92" s="13"/>
      <c r="C92" s="13"/>
      <c r="D92" s="54"/>
      <c r="E92" s="55"/>
      <c r="F92" s="55"/>
      <c r="G92" s="55"/>
      <c r="H92" s="55"/>
      <c r="I92" s="55"/>
      <c r="J92" s="13"/>
      <c r="K92" s="13"/>
      <c r="L92" s="13"/>
      <c r="M92" s="56"/>
      <c r="N92" s="13"/>
      <c r="O92" s="66"/>
      <c r="P92" s="13"/>
      <c r="Q92" s="58"/>
      <c r="R92" s="13"/>
      <c r="S92" s="116"/>
      <c r="T92" s="116"/>
      <c r="U92" s="116"/>
      <c r="V92" s="13"/>
      <c r="W92" s="13"/>
      <c r="X92" s="13"/>
      <c r="Y92" s="13"/>
      <c r="Z92" s="13"/>
      <c r="AA92" s="13"/>
      <c r="AC92" s="13"/>
      <c r="AD92" s="13"/>
      <c r="AE92" s="13"/>
      <c r="AF92" s="13" t="s">
        <v>191</v>
      </c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</row>
    <row r="93" spans="2:67" ht="15.75" customHeight="1" x14ac:dyDescent="0.25">
      <c r="B93" s="13"/>
      <c r="C93" s="13"/>
      <c r="D93" s="54"/>
      <c r="E93" s="55"/>
      <c r="F93" s="55"/>
      <c r="G93" s="55"/>
      <c r="H93" s="55"/>
      <c r="I93" s="55"/>
      <c r="J93" s="13"/>
      <c r="K93" s="13"/>
      <c r="L93" s="13"/>
      <c r="M93" s="56"/>
      <c r="N93" s="13"/>
      <c r="O93" s="13"/>
      <c r="P93" s="13"/>
      <c r="Q93" s="58"/>
      <c r="R93" s="13"/>
      <c r="S93" s="116"/>
      <c r="T93" s="116"/>
      <c r="U93" s="116"/>
      <c r="V93" s="13"/>
      <c r="W93" s="13"/>
      <c r="X93" s="13"/>
      <c r="Y93" s="13"/>
      <c r="Z93" s="13"/>
      <c r="AA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</row>
    <row r="94" spans="2:67" ht="15.75" customHeight="1" x14ac:dyDescent="0.25">
      <c r="AV94" s="13"/>
      <c r="AW94" s="13"/>
      <c r="AX94" s="13"/>
      <c r="AY94" s="13"/>
      <c r="AZ94" s="13"/>
    </row>
  </sheetData>
  <mergeCells count="60">
    <mergeCell ref="G82:X82"/>
    <mergeCell ref="G84:Y84"/>
    <mergeCell ref="BF10:BF14"/>
    <mergeCell ref="AT10:AU13"/>
    <mergeCell ref="AV10:AZ12"/>
    <mergeCell ref="BA10:BB13"/>
    <mergeCell ref="BE10:BE14"/>
    <mergeCell ref="BC10:BC14"/>
    <mergeCell ref="BD10:BD14"/>
    <mergeCell ref="AV13:AV14"/>
    <mergeCell ref="AN11:AS11"/>
    <mergeCell ref="AF10:AF14"/>
    <mergeCell ref="AG10:AG12"/>
    <mergeCell ref="AH10:AS10"/>
    <mergeCell ref="G12:H13"/>
    <mergeCell ref="I12:I14"/>
    <mergeCell ref="BO10:BO14"/>
    <mergeCell ref="BG10:BG14"/>
    <mergeCell ref="BI10:BI14"/>
    <mergeCell ref="BK10:BK14"/>
    <mergeCell ref="BL10:BL14"/>
    <mergeCell ref="BM10:BM14"/>
    <mergeCell ref="BN10:BN14"/>
    <mergeCell ref="BH10:BH14"/>
    <mergeCell ref="BJ10:BJ14"/>
    <mergeCell ref="J12:J14"/>
    <mergeCell ref="V12:X13"/>
    <mergeCell ref="Y12:AA13"/>
    <mergeCell ref="AB12:AB14"/>
    <mergeCell ref="AC10:AC14"/>
    <mergeCell ref="S10:U13"/>
    <mergeCell ref="V10:AB11"/>
    <mergeCell ref="K10:K14"/>
    <mergeCell ref="L10:L14"/>
    <mergeCell ref="M10:M14"/>
    <mergeCell ref="N10:N14"/>
    <mergeCell ref="O10:O14"/>
    <mergeCell ref="P10:R13"/>
    <mergeCell ref="AZ13:AZ14"/>
    <mergeCell ref="AN13:AO13"/>
    <mergeCell ref="AP13:AQ13"/>
    <mergeCell ref="AN12:AO12"/>
    <mergeCell ref="AR12:AS13"/>
    <mergeCell ref="AP12:AQ12"/>
    <mergeCell ref="AD10:AD14"/>
    <mergeCell ref="F12:F14"/>
    <mergeCell ref="AW13:AY13"/>
    <mergeCell ref="B10:B14"/>
    <mergeCell ref="C10:C14"/>
    <mergeCell ref="D10:D14"/>
    <mergeCell ref="E10:E14"/>
    <mergeCell ref="F10:J11"/>
    <mergeCell ref="AH13:AH14"/>
    <mergeCell ref="AI13:AI14"/>
    <mergeCell ref="AJ13:AK13"/>
    <mergeCell ref="AE10:AE14"/>
    <mergeCell ref="AH12:AI12"/>
    <mergeCell ref="AJ12:AK12"/>
    <mergeCell ref="AL12:AM13"/>
    <mergeCell ref="AH11:AM11"/>
  </mergeCells>
  <pageMargins left="0" right="0" top="0" bottom="0" header="0" footer="0"/>
  <pageSetup paperSize="9" scale="52" fitToWidth="3" fitToHeight="0" orientation="portrait" r:id="rId1"/>
  <rowBreaks count="1" manualBreakCount="1">
    <brk id="89" min="1" max="65" man="1"/>
  </rowBreaks>
  <colBreaks count="2" manualBreakCount="2">
    <brk id="22" max="87" man="1"/>
    <brk id="44" max="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D94"/>
  <sheetViews>
    <sheetView view="pageBreakPreview" zoomScale="60" zoomScaleNormal="100" workbookViewId="0">
      <selection activeCell="AI45" sqref="AI45"/>
    </sheetView>
  </sheetViews>
  <sheetFormatPr defaultRowHeight="15" x14ac:dyDescent="0.25"/>
  <cols>
    <col min="2" max="2" width="32.42578125" customWidth="1"/>
    <col min="3" max="3" width="14.5703125" customWidth="1"/>
    <col min="4" max="4" width="16.5703125" customWidth="1"/>
    <col min="5" max="6" width="5.28515625" customWidth="1"/>
    <col min="7" max="7" width="10.28515625" hidden="1" customWidth="1"/>
    <col min="8" max="8" width="12.28515625" hidden="1" customWidth="1"/>
    <col min="9" max="9" width="12" hidden="1" customWidth="1"/>
    <col min="10" max="10" width="6.140625" hidden="1" customWidth="1"/>
    <col min="11" max="11" width="8.5703125" hidden="1" customWidth="1"/>
    <col min="12" max="12" width="6.7109375" hidden="1" customWidth="1"/>
    <col min="13" max="13" width="6.28515625" customWidth="1"/>
    <col min="14" max="14" width="8.140625" customWidth="1"/>
    <col min="15" max="15" width="9.5703125" customWidth="1"/>
    <col min="16" max="16" width="5.85546875" customWidth="1"/>
    <col min="17" max="17" width="6.7109375" customWidth="1"/>
    <col min="18" max="18" width="5.140625" customWidth="1"/>
    <col min="19" max="19" width="4.7109375" style="117" customWidth="1"/>
    <col min="20" max="20" width="5.28515625" style="117" customWidth="1"/>
    <col min="21" max="21" width="5.42578125" style="117" customWidth="1"/>
    <col min="22" max="22" width="10.140625" customWidth="1"/>
    <col min="23" max="23" width="10.7109375" customWidth="1"/>
    <col min="24" max="24" width="9.7109375" customWidth="1"/>
    <col min="25" max="25" width="8.42578125" customWidth="1"/>
    <col min="26" max="26" width="8" customWidth="1"/>
    <col min="27" max="27" width="8.7109375" customWidth="1"/>
    <col min="28" max="28" width="12.5703125" style="13" customWidth="1"/>
    <col min="29" max="29" width="14.42578125" customWidth="1"/>
    <col min="30" max="30" width="11.42578125" customWidth="1"/>
    <col min="31" max="31" width="12.42578125" customWidth="1"/>
    <col min="32" max="32" width="11.85546875" customWidth="1"/>
    <col min="33" max="33" width="6.42578125" hidden="1" customWidth="1"/>
    <col min="34" max="34" width="5.5703125" customWidth="1"/>
    <col min="35" max="35" width="8.7109375" customWidth="1"/>
    <col min="36" max="36" width="4.5703125" customWidth="1"/>
    <col min="37" max="37" width="7.42578125" customWidth="1"/>
    <col min="38" max="38" width="5.28515625" customWidth="1"/>
    <col min="39" max="39" width="10.140625" customWidth="1"/>
    <col min="40" max="40" width="5.85546875" customWidth="1"/>
    <col min="41" max="41" width="7.42578125" customWidth="1"/>
    <col min="42" max="42" width="5.85546875" customWidth="1"/>
    <col min="43" max="43" width="7.7109375" customWidth="1"/>
    <col min="44" max="44" width="6.28515625" customWidth="1"/>
    <col min="45" max="45" width="8.140625" customWidth="1"/>
    <col min="46" max="46" width="6.85546875" customWidth="1"/>
    <col min="47" max="47" width="10.7109375" customWidth="1"/>
    <col min="48" max="48" width="5.28515625" customWidth="1"/>
    <col min="49" max="49" width="4.5703125" customWidth="1"/>
    <col min="50" max="50" width="5.140625" customWidth="1"/>
    <col min="51" max="51" width="4.42578125" customWidth="1"/>
    <col min="52" max="52" width="8.42578125" customWidth="1"/>
    <col min="53" max="53" width="4" customWidth="1"/>
    <col min="54" max="54" width="8.140625" customWidth="1"/>
    <col min="55" max="55" width="6.5703125" customWidth="1"/>
    <col min="56" max="56" width="10.140625" customWidth="1"/>
    <col min="57" max="57" width="8.5703125" customWidth="1"/>
    <col min="58" max="58" width="5" customWidth="1"/>
    <col min="59" max="59" width="10.140625" bestFit="1" customWidth="1"/>
    <col min="60" max="60" width="8.42578125" customWidth="1"/>
    <col min="61" max="62" width="7.85546875" customWidth="1"/>
    <col min="63" max="63" width="11.42578125" customWidth="1"/>
    <col min="64" max="64" width="12.5703125" customWidth="1"/>
    <col min="65" max="65" width="12.140625" customWidth="1"/>
    <col min="66" max="66" width="10.5703125" customWidth="1"/>
    <col min="67" max="67" width="13.28515625" customWidth="1"/>
  </cols>
  <sheetData>
    <row r="1" spans="2:67" ht="15.75" customHeight="1" x14ac:dyDescent="0.25">
      <c r="B1" s="67"/>
      <c r="C1" s="67"/>
      <c r="D1" s="67"/>
      <c r="E1" s="67"/>
      <c r="F1" s="67"/>
      <c r="G1" s="67"/>
      <c r="H1" s="67"/>
      <c r="I1" s="108"/>
      <c r="J1" s="67"/>
      <c r="K1" s="67"/>
      <c r="L1" s="67"/>
      <c r="M1" s="67"/>
      <c r="N1" s="67"/>
      <c r="O1" s="67"/>
      <c r="P1" s="67"/>
      <c r="Q1" s="67"/>
      <c r="R1" s="67"/>
      <c r="S1" s="113"/>
      <c r="T1" s="113"/>
      <c r="U1" s="113"/>
      <c r="V1" s="67"/>
      <c r="W1" s="67"/>
      <c r="X1" s="67"/>
      <c r="Y1" s="67"/>
      <c r="Z1" s="67"/>
      <c r="AA1" s="67"/>
      <c r="AB1" s="5"/>
    </row>
    <row r="2" spans="2:67" ht="15.75" customHeight="1" x14ac:dyDescent="0.25">
      <c r="B2" s="1" t="s">
        <v>0</v>
      </c>
      <c r="C2" s="2"/>
      <c r="D2" s="3"/>
      <c r="E2" s="4"/>
      <c r="F2" s="4"/>
      <c r="G2" s="4"/>
      <c r="H2" s="4"/>
      <c r="I2" s="4"/>
      <c r="J2" s="5"/>
      <c r="K2" s="5"/>
      <c r="L2" s="163"/>
      <c r="M2" s="7"/>
      <c r="N2" s="5"/>
      <c r="O2" s="5"/>
      <c r="P2" s="5"/>
      <c r="Q2" s="8" t="s">
        <v>1</v>
      </c>
      <c r="R2" s="9"/>
      <c r="S2" s="7"/>
      <c r="T2" s="7"/>
      <c r="U2" s="7"/>
      <c r="V2" s="9"/>
      <c r="W2" s="9" t="s">
        <v>2</v>
      </c>
      <c r="X2" s="10"/>
      <c r="Y2" s="10"/>
      <c r="Z2" s="10"/>
      <c r="AA2" s="10"/>
      <c r="AB2" s="11">
        <v>4</v>
      </c>
      <c r="AC2" s="11"/>
      <c r="AD2" s="11">
        <v>5</v>
      </c>
      <c r="AE2" s="11">
        <v>2</v>
      </c>
      <c r="AF2" s="11">
        <v>11</v>
      </c>
      <c r="AG2" s="10"/>
      <c r="AH2" s="10"/>
      <c r="AI2" s="10"/>
      <c r="AJ2" s="10"/>
      <c r="AK2" s="10"/>
      <c r="AL2" s="10"/>
      <c r="AM2" s="10"/>
      <c r="AN2" s="10"/>
      <c r="AO2" s="10"/>
      <c r="AP2" s="12"/>
      <c r="AQ2" s="12"/>
      <c r="AR2" s="12"/>
      <c r="AS2" s="12"/>
      <c r="AT2" s="12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</row>
    <row r="3" spans="2:67" ht="15.75" customHeight="1" x14ac:dyDescent="0.25">
      <c r="B3" s="14" t="s">
        <v>3</v>
      </c>
      <c r="C3" s="2"/>
      <c r="D3" s="3"/>
      <c r="E3" s="4"/>
      <c r="F3" s="4"/>
      <c r="G3" s="4"/>
      <c r="H3" s="4"/>
      <c r="I3" s="4"/>
      <c r="J3" s="5"/>
      <c r="K3" s="5"/>
      <c r="L3" s="163"/>
      <c r="M3" s="7"/>
      <c r="N3" s="5"/>
      <c r="O3" s="5"/>
      <c r="P3" s="5"/>
      <c r="Q3" s="8" t="s">
        <v>4</v>
      </c>
      <c r="R3" s="9"/>
      <c r="S3" s="7"/>
      <c r="T3" s="7"/>
      <c r="U3" s="7"/>
      <c r="V3" s="9"/>
      <c r="W3" s="9" t="s">
        <v>5</v>
      </c>
      <c r="X3" s="10"/>
      <c r="Y3" s="10"/>
      <c r="Z3" s="10"/>
      <c r="AA3" s="10"/>
      <c r="AB3" s="11">
        <v>4</v>
      </c>
      <c r="AC3" s="11"/>
      <c r="AD3" s="11">
        <v>4</v>
      </c>
      <c r="AE3" s="11">
        <v>2</v>
      </c>
      <c r="AF3" s="11">
        <v>10</v>
      </c>
      <c r="AG3" s="10"/>
      <c r="AH3" s="10"/>
      <c r="AI3" s="10"/>
      <c r="AJ3" s="10"/>
      <c r="AK3" s="10"/>
      <c r="AL3" s="10"/>
      <c r="AM3" s="10"/>
      <c r="AN3" s="10"/>
      <c r="AO3" s="10"/>
      <c r="AP3" s="12"/>
      <c r="AQ3" s="12"/>
      <c r="AR3" s="12"/>
      <c r="AS3" s="12"/>
      <c r="AT3" s="12"/>
      <c r="AU3" s="12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2:67" ht="15.75" customHeight="1" x14ac:dyDescent="0.25">
      <c r="B4" s="14" t="s">
        <v>6</v>
      </c>
      <c r="C4" s="2"/>
      <c r="D4" s="3"/>
      <c r="E4" s="4"/>
      <c r="F4" s="4"/>
      <c r="G4" s="4"/>
      <c r="H4" s="4"/>
      <c r="I4" s="4"/>
      <c r="J4" s="5"/>
      <c r="K4" s="5"/>
      <c r="L4" s="163"/>
      <c r="M4" s="7"/>
      <c r="N4" s="5"/>
      <c r="O4" s="5"/>
      <c r="P4" s="5"/>
      <c r="Q4" s="15" t="s">
        <v>7</v>
      </c>
      <c r="R4" s="9"/>
      <c r="S4" s="7"/>
      <c r="T4" s="7"/>
      <c r="U4" s="7"/>
      <c r="V4" s="9"/>
      <c r="W4" s="9" t="s">
        <v>8</v>
      </c>
      <c r="X4" s="10"/>
      <c r="Y4" s="10"/>
      <c r="Z4" s="10"/>
      <c r="AA4" s="10"/>
      <c r="AB4" s="11">
        <v>19</v>
      </c>
      <c r="AC4" s="11"/>
      <c r="AD4" s="11">
        <v>22</v>
      </c>
      <c r="AE4" s="11">
        <v>17</v>
      </c>
      <c r="AF4" s="11">
        <f>AE4+AD4+AB4</f>
        <v>58</v>
      </c>
      <c r="AG4" s="10"/>
      <c r="AH4" s="10"/>
      <c r="AI4" s="10"/>
      <c r="AJ4" s="10"/>
      <c r="AK4" s="10"/>
      <c r="AL4" s="10"/>
      <c r="AM4" s="10"/>
      <c r="AN4" s="10"/>
      <c r="AO4" s="10"/>
      <c r="AP4" s="12"/>
      <c r="AQ4" s="12"/>
      <c r="AR4" s="12"/>
      <c r="AS4" s="12"/>
      <c r="AT4" s="12"/>
      <c r="AU4" s="12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2:67" ht="15.75" customHeight="1" x14ac:dyDescent="0.25">
      <c r="B5" s="14" t="s">
        <v>228</v>
      </c>
      <c r="C5" s="16"/>
      <c r="D5" s="3"/>
      <c r="E5" s="4"/>
      <c r="F5" s="4"/>
      <c r="G5" s="4"/>
      <c r="H5" s="4"/>
      <c r="I5" s="4"/>
      <c r="J5" s="5"/>
      <c r="K5" s="5"/>
      <c r="L5" s="17"/>
      <c r="M5" s="7"/>
      <c r="N5" s="5"/>
      <c r="O5" s="5"/>
      <c r="P5" s="5"/>
      <c r="Q5" s="15" t="s">
        <v>228</v>
      </c>
      <c r="R5" s="9"/>
      <c r="S5" s="7"/>
      <c r="T5" s="7"/>
      <c r="U5" s="7"/>
      <c r="V5" s="18"/>
      <c r="W5" s="9" t="s">
        <v>9</v>
      </c>
      <c r="X5" s="10"/>
      <c r="Y5" s="10"/>
      <c r="Z5" s="10"/>
      <c r="AA5" s="10"/>
      <c r="AB5" s="19">
        <v>93</v>
      </c>
      <c r="AC5" s="19"/>
      <c r="AD5" s="11">
        <v>148</v>
      </c>
      <c r="AE5" s="20">
        <v>80</v>
      </c>
      <c r="AF5" s="21">
        <f>SUM(AB5:AE5)</f>
        <v>321</v>
      </c>
      <c r="AG5" s="22"/>
      <c r="AH5" s="22"/>
      <c r="AI5" s="22"/>
      <c r="AJ5" s="22"/>
      <c r="AK5" s="22"/>
      <c r="AL5" s="22"/>
      <c r="AM5" s="22"/>
      <c r="AN5" s="22"/>
      <c r="AO5" s="22"/>
      <c r="AP5" s="23"/>
      <c r="AQ5" s="23"/>
      <c r="AR5" s="23"/>
      <c r="AS5" s="23"/>
      <c r="AT5" s="23"/>
      <c r="AU5" s="2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</row>
    <row r="6" spans="2:67" ht="15.75" customHeight="1" x14ac:dyDescent="0.25">
      <c r="B6" s="5"/>
      <c r="C6" s="16"/>
      <c r="D6" s="3"/>
      <c r="E6" s="24"/>
      <c r="F6" s="24"/>
      <c r="G6" s="24"/>
      <c r="H6" s="24"/>
      <c r="I6" s="24"/>
      <c r="J6" s="16"/>
      <c r="K6" s="16"/>
      <c r="L6" s="16"/>
      <c r="M6" s="25"/>
      <c r="N6" s="26"/>
      <c r="O6" s="27"/>
      <c r="P6" s="27"/>
      <c r="Q6" s="28"/>
      <c r="R6" s="27"/>
      <c r="S6" s="83" t="s">
        <v>10</v>
      </c>
      <c r="T6" s="136">
        <v>1</v>
      </c>
      <c r="U6" s="136">
        <v>2</v>
      </c>
      <c r="V6" s="30">
        <v>3</v>
      </c>
      <c r="W6" s="30">
        <v>4</v>
      </c>
      <c r="X6" s="30">
        <v>5</v>
      </c>
      <c r="Y6" s="30">
        <v>6</v>
      </c>
      <c r="Z6" s="112">
        <v>7</v>
      </c>
      <c r="AA6" s="30">
        <v>8</v>
      </c>
      <c r="AB6" s="30">
        <v>9</v>
      </c>
      <c r="AC6" s="31"/>
      <c r="AD6" s="31">
        <v>10</v>
      </c>
      <c r="AE6" s="31">
        <v>11</v>
      </c>
      <c r="AF6" s="30" t="s">
        <v>11</v>
      </c>
      <c r="AG6" s="10"/>
      <c r="AH6" s="10"/>
      <c r="AI6" s="10"/>
      <c r="AJ6" s="10"/>
      <c r="AK6" s="10"/>
      <c r="AL6" s="10"/>
      <c r="AM6" s="10"/>
      <c r="AN6" s="10"/>
      <c r="AO6" s="10"/>
      <c r="AP6" s="12"/>
      <c r="AQ6" s="12"/>
      <c r="AR6" s="12"/>
      <c r="AS6" s="12"/>
      <c r="AT6" s="12"/>
      <c r="AU6" s="12"/>
      <c r="AV6" s="13"/>
      <c r="AW6" s="13"/>
      <c r="AX6" s="13"/>
      <c r="AY6" s="13"/>
      <c r="AZ6" s="13"/>
      <c r="BA6" s="12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2:67" ht="15.75" customHeight="1" x14ac:dyDescent="0.25">
      <c r="B7" s="5"/>
      <c r="C7" s="32" t="s">
        <v>12</v>
      </c>
      <c r="D7" s="3"/>
      <c r="E7" s="33"/>
      <c r="F7" s="33"/>
      <c r="G7" s="33"/>
      <c r="H7" s="33"/>
      <c r="I7" s="33"/>
      <c r="J7" s="16"/>
      <c r="K7" s="16"/>
      <c r="L7" s="16"/>
      <c r="M7" s="25"/>
      <c r="N7" s="34"/>
      <c r="O7" s="27"/>
      <c r="P7" s="27"/>
      <c r="Q7" s="28"/>
      <c r="R7" s="34" t="s">
        <v>13</v>
      </c>
      <c r="S7" s="74">
        <v>1</v>
      </c>
      <c r="T7" s="74">
        <v>1</v>
      </c>
      <c r="U7" s="1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/>
      <c r="AD7" s="11">
        <v>1</v>
      </c>
      <c r="AE7" s="11">
        <v>1</v>
      </c>
      <c r="AF7" s="11">
        <f>SUM(S7:AE7)</f>
        <v>12</v>
      </c>
      <c r="AG7" s="10"/>
      <c r="AH7" s="10"/>
      <c r="AI7" s="10"/>
      <c r="AJ7" s="10"/>
      <c r="AK7" s="10"/>
      <c r="AL7" s="10"/>
      <c r="AM7" s="10"/>
      <c r="AN7" s="10"/>
      <c r="AO7" s="10"/>
      <c r="AP7" s="12"/>
      <c r="AQ7" s="12"/>
      <c r="AR7" s="12"/>
      <c r="AS7" s="12"/>
      <c r="AT7" s="12"/>
      <c r="AU7" s="12"/>
      <c r="AV7" s="13"/>
      <c r="AW7" s="13"/>
      <c r="AX7" s="13"/>
      <c r="AY7" s="13"/>
      <c r="AZ7" s="13"/>
      <c r="BA7" s="12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</row>
    <row r="8" spans="2:67" ht="15.75" customHeight="1" x14ac:dyDescent="0.25">
      <c r="B8" s="1" t="s">
        <v>229</v>
      </c>
      <c r="C8" s="16"/>
      <c r="D8" s="3"/>
      <c r="E8" s="24"/>
      <c r="F8" s="24"/>
      <c r="G8" s="24"/>
      <c r="H8" s="24"/>
      <c r="I8" s="24"/>
      <c r="J8" s="16"/>
      <c r="K8" s="16"/>
      <c r="L8" s="16"/>
      <c r="M8" s="25"/>
      <c r="N8" s="34"/>
      <c r="O8" s="27"/>
      <c r="P8" s="27"/>
      <c r="Q8" s="28"/>
      <c r="R8" s="34" t="s">
        <v>14</v>
      </c>
      <c r="S8" s="74">
        <v>1</v>
      </c>
      <c r="T8" s="74">
        <v>1</v>
      </c>
      <c r="U8" s="111">
        <v>1</v>
      </c>
      <c r="V8" s="11">
        <v>1</v>
      </c>
      <c r="W8" s="111">
        <v>1</v>
      </c>
      <c r="X8" s="111">
        <v>0.5</v>
      </c>
      <c r="Y8" s="11">
        <v>0.5</v>
      </c>
      <c r="Z8" s="11">
        <v>1</v>
      </c>
      <c r="AA8" s="11">
        <v>1</v>
      </c>
      <c r="AB8" s="11">
        <v>1</v>
      </c>
      <c r="AC8" s="11"/>
      <c r="AD8" s="11">
        <v>1</v>
      </c>
      <c r="AE8" s="11">
        <v>1</v>
      </c>
      <c r="AF8" s="11">
        <f>SUM(S8:AE8)</f>
        <v>11</v>
      </c>
      <c r="AG8" s="10"/>
      <c r="AH8" s="10"/>
      <c r="AI8" s="10"/>
      <c r="AJ8" s="10"/>
      <c r="AK8" s="10"/>
      <c r="AL8" s="10"/>
      <c r="AM8" s="10"/>
      <c r="AN8" s="10"/>
      <c r="AO8" s="10"/>
      <c r="AP8" s="12"/>
      <c r="AQ8" s="12"/>
      <c r="AR8" s="12"/>
      <c r="AS8" s="12"/>
      <c r="AT8" s="12"/>
      <c r="AU8" s="12"/>
      <c r="AV8" s="13"/>
      <c r="AW8" s="13"/>
      <c r="AX8" s="13"/>
      <c r="AY8" s="13"/>
      <c r="AZ8" s="13"/>
      <c r="BA8" s="12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</row>
    <row r="9" spans="2:67" ht="15.75" customHeight="1" thickBot="1" x14ac:dyDescent="0.3">
      <c r="B9" s="1" t="s">
        <v>15</v>
      </c>
      <c r="C9" s="16"/>
      <c r="D9" s="17"/>
      <c r="E9" s="24"/>
      <c r="F9" s="24"/>
      <c r="G9" s="24"/>
      <c r="H9" s="24"/>
      <c r="I9" s="24"/>
      <c r="J9" s="16"/>
      <c r="K9" s="16"/>
      <c r="L9" s="16"/>
      <c r="M9" s="25"/>
      <c r="N9" s="34"/>
      <c r="O9" s="27"/>
      <c r="P9" s="27"/>
      <c r="Q9" s="28"/>
      <c r="R9" s="34" t="s">
        <v>16</v>
      </c>
      <c r="S9" s="137">
        <v>3</v>
      </c>
      <c r="T9" s="137">
        <v>6</v>
      </c>
      <c r="U9" s="137">
        <v>4</v>
      </c>
      <c r="V9" s="111">
        <v>5</v>
      </c>
      <c r="W9" s="111">
        <v>4</v>
      </c>
      <c r="X9" s="111">
        <v>5</v>
      </c>
      <c r="Y9" s="111">
        <v>2</v>
      </c>
      <c r="Z9" s="111">
        <v>7</v>
      </c>
      <c r="AA9" s="111">
        <v>3</v>
      </c>
      <c r="AB9" s="111">
        <v>5</v>
      </c>
      <c r="AC9" s="74"/>
      <c r="AD9" s="11">
        <v>9</v>
      </c>
      <c r="AE9" s="11">
        <v>8</v>
      </c>
      <c r="AF9" s="11">
        <f>SUM(S9:AE9)</f>
        <v>61</v>
      </c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12"/>
      <c r="AR9" s="12"/>
      <c r="AS9" s="12"/>
      <c r="AT9" s="12"/>
      <c r="AU9" s="12"/>
      <c r="AV9" s="13"/>
      <c r="AW9" s="13"/>
      <c r="AX9" s="13"/>
      <c r="AY9" s="13"/>
      <c r="AZ9" s="13"/>
      <c r="BA9" s="35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2:67" ht="15.75" customHeight="1" thickBot="1" x14ac:dyDescent="0.3">
      <c r="B10" s="177" t="s">
        <v>17</v>
      </c>
      <c r="C10" s="180" t="s">
        <v>18</v>
      </c>
      <c r="D10" s="183" t="s">
        <v>19</v>
      </c>
      <c r="E10" s="177" t="s">
        <v>20</v>
      </c>
      <c r="F10" s="186" t="s">
        <v>21</v>
      </c>
      <c r="G10" s="186"/>
      <c r="H10" s="186"/>
      <c r="I10" s="186"/>
      <c r="J10" s="186"/>
      <c r="K10" s="180" t="s">
        <v>22</v>
      </c>
      <c r="L10" s="180" t="s">
        <v>23</v>
      </c>
      <c r="M10" s="202" t="s">
        <v>24</v>
      </c>
      <c r="N10" s="205" t="s">
        <v>25</v>
      </c>
      <c r="O10" s="205" t="s">
        <v>26</v>
      </c>
      <c r="P10" s="197" t="s">
        <v>27</v>
      </c>
      <c r="Q10" s="197"/>
      <c r="R10" s="197"/>
      <c r="S10" s="197" t="s">
        <v>28</v>
      </c>
      <c r="T10" s="197"/>
      <c r="U10" s="197"/>
      <c r="V10" s="201" t="s">
        <v>29</v>
      </c>
      <c r="W10" s="201"/>
      <c r="X10" s="201"/>
      <c r="Y10" s="201"/>
      <c r="Z10" s="201"/>
      <c r="AA10" s="201"/>
      <c r="AB10" s="201"/>
      <c r="AC10" s="198">
        <v>0.5</v>
      </c>
      <c r="AD10" s="170" t="s">
        <v>30</v>
      </c>
      <c r="AE10" s="189" t="s">
        <v>31</v>
      </c>
      <c r="AF10" s="170" t="s">
        <v>32</v>
      </c>
      <c r="AG10" s="221" t="s">
        <v>33</v>
      </c>
      <c r="AH10" s="188" t="s">
        <v>34</v>
      </c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219" t="s">
        <v>35</v>
      </c>
      <c r="AU10" s="219"/>
      <c r="AV10" s="206" t="s">
        <v>36</v>
      </c>
      <c r="AW10" s="206"/>
      <c r="AX10" s="206"/>
      <c r="AY10" s="206"/>
      <c r="AZ10" s="206"/>
      <c r="BA10" s="220" t="s">
        <v>37</v>
      </c>
      <c r="BB10" s="220"/>
      <c r="BC10" s="210" t="s">
        <v>193</v>
      </c>
      <c r="BD10" s="210">
        <v>0.3</v>
      </c>
      <c r="BE10" s="210" t="s">
        <v>38</v>
      </c>
      <c r="BF10" s="210" t="s">
        <v>39</v>
      </c>
      <c r="BG10" s="207" t="s">
        <v>40</v>
      </c>
      <c r="BH10" s="210" t="s">
        <v>211</v>
      </c>
      <c r="BI10" s="210" t="s">
        <v>210</v>
      </c>
      <c r="BJ10" s="210" t="s">
        <v>242</v>
      </c>
      <c r="BK10" s="207" t="s">
        <v>41</v>
      </c>
      <c r="BL10" s="210" t="s">
        <v>42</v>
      </c>
      <c r="BM10" s="210" t="s">
        <v>43</v>
      </c>
      <c r="BN10" s="210" t="s">
        <v>44</v>
      </c>
      <c r="BO10" s="206" t="s">
        <v>245</v>
      </c>
    </row>
    <row r="11" spans="2:67" ht="15.75" customHeight="1" x14ac:dyDescent="0.25">
      <c r="B11" s="178"/>
      <c r="C11" s="181"/>
      <c r="D11" s="184"/>
      <c r="E11" s="178"/>
      <c r="F11" s="186"/>
      <c r="G11" s="186"/>
      <c r="H11" s="186"/>
      <c r="I11" s="186"/>
      <c r="J11" s="186"/>
      <c r="K11" s="181"/>
      <c r="L11" s="181"/>
      <c r="M11" s="203"/>
      <c r="N11" s="205"/>
      <c r="O11" s="205"/>
      <c r="P11" s="197"/>
      <c r="Q11" s="197"/>
      <c r="R11" s="197"/>
      <c r="S11" s="197"/>
      <c r="T11" s="197"/>
      <c r="U11" s="197"/>
      <c r="V11" s="201"/>
      <c r="W11" s="201"/>
      <c r="X11" s="201"/>
      <c r="Y11" s="201"/>
      <c r="Z11" s="201"/>
      <c r="AA11" s="201"/>
      <c r="AB11" s="201"/>
      <c r="AC11" s="199"/>
      <c r="AD11" s="171"/>
      <c r="AE11" s="178"/>
      <c r="AF11" s="171"/>
      <c r="AG11" s="221"/>
      <c r="AH11" s="191" t="s">
        <v>45</v>
      </c>
      <c r="AI11" s="191"/>
      <c r="AJ11" s="191"/>
      <c r="AK11" s="191"/>
      <c r="AL11" s="191"/>
      <c r="AM11" s="191"/>
      <c r="AN11" s="191" t="s">
        <v>46</v>
      </c>
      <c r="AO11" s="191"/>
      <c r="AP11" s="191"/>
      <c r="AQ11" s="191"/>
      <c r="AR11" s="191"/>
      <c r="AS11" s="191"/>
      <c r="AT11" s="219"/>
      <c r="AU11" s="219"/>
      <c r="AV11" s="206"/>
      <c r="AW11" s="206"/>
      <c r="AX11" s="206"/>
      <c r="AY11" s="206"/>
      <c r="AZ11" s="206"/>
      <c r="BA11" s="220"/>
      <c r="BB11" s="220"/>
      <c r="BC11" s="199"/>
      <c r="BD11" s="199"/>
      <c r="BE11" s="199"/>
      <c r="BF11" s="213"/>
      <c r="BG11" s="208"/>
      <c r="BH11" s="199"/>
      <c r="BI11" s="199"/>
      <c r="BJ11" s="213"/>
      <c r="BK11" s="211"/>
      <c r="BL11" s="213"/>
      <c r="BM11" s="215"/>
      <c r="BN11" s="215"/>
      <c r="BO11" s="206"/>
    </row>
    <row r="12" spans="2:67" ht="15.75" customHeight="1" thickBot="1" x14ac:dyDescent="0.3">
      <c r="B12" s="178"/>
      <c r="C12" s="181"/>
      <c r="D12" s="184"/>
      <c r="E12" s="178"/>
      <c r="F12" s="173" t="s">
        <v>47</v>
      </c>
      <c r="G12" s="222" t="s">
        <v>48</v>
      </c>
      <c r="H12" s="222"/>
      <c r="I12" s="223" t="s">
        <v>49</v>
      </c>
      <c r="J12" s="196" t="s">
        <v>50</v>
      </c>
      <c r="K12" s="181"/>
      <c r="L12" s="181"/>
      <c r="M12" s="203"/>
      <c r="N12" s="205"/>
      <c r="O12" s="205"/>
      <c r="P12" s="197"/>
      <c r="Q12" s="197"/>
      <c r="R12" s="197"/>
      <c r="S12" s="197"/>
      <c r="T12" s="197"/>
      <c r="U12" s="197"/>
      <c r="V12" s="197" t="s">
        <v>51</v>
      </c>
      <c r="W12" s="197"/>
      <c r="X12" s="197"/>
      <c r="Y12" s="197" t="s">
        <v>52</v>
      </c>
      <c r="Z12" s="197"/>
      <c r="AA12" s="197"/>
      <c r="AB12" s="197" t="s">
        <v>53</v>
      </c>
      <c r="AC12" s="199"/>
      <c r="AD12" s="171"/>
      <c r="AE12" s="178"/>
      <c r="AF12" s="171"/>
      <c r="AG12" s="221"/>
      <c r="AH12" s="190" t="s">
        <v>208</v>
      </c>
      <c r="AI12" s="190"/>
      <c r="AJ12" s="190" t="s">
        <v>215</v>
      </c>
      <c r="AK12" s="190"/>
      <c r="AL12" s="188" t="s">
        <v>53</v>
      </c>
      <c r="AM12" s="188"/>
      <c r="AN12" s="188" t="s">
        <v>215</v>
      </c>
      <c r="AO12" s="188"/>
      <c r="AP12" s="188" t="s">
        <v>208</v>
      </c>
      <c r="AQ12" s="188"/>
      <c r="AR12" s="195" t="s">
        <v>53</v>
      </c>
      <c r="AS12" s="195"/>
      <c r="AT12" s="219"/>
      <c r="AU12" s="219"/>
      <c r="AV12" s="206"/>
      <c r="AW12" s="206"/>
      <c r="AX12" s="206"/>
      <c r="AY12" s="206"/>
      <c r="AZ12" s="206"/>
      <c r="BA12" s="220"/>
      <c r="BB12" s="220"/>
      <c r="BC12" s="199"/>
      <c r="BD12" s="199"/>
      <c r="BE12" s="199"/>
      <c r="BF12" s="213"/>
      <c r="BG12" s="208"/>
      <c r="BH12" s="199"/>
      <c r="BI12" s="199"/>
      <c r="BJ12" s="213"/>
      <c r="BK12" s="211"/>
      <c r="BL12" s="213"/>
      <c r="BM12" s="215"/>
      <c r="BN12" s="215"/>
      <c r="BO12" s="206"/>
    </row>
    <row r="13" spans="2:67" ht="15.75" customHeight="1" thickBot="1" x14ac:dyDescent="0.3">
      <c r="B13" s="178"/>
      <c r="C13" s="181"/>
      <c r="D13" s="184"/>
      <c r="E13" s="178"/>
      <c r="F13" s="173"/>
      <c r="G13" s="222"/>
      <c r="H13" s="222"/>
      <c r="I13" s="223"/>
      <c r="J13" s="196"/>
      <c r="K13" s="181"/>
      <c r="L13" s="181"/>
      <c r="M13" s="203"/>
      <c r="N13" s="205"/>
      <c r="O13" s="205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9"/>
      <c r="AD13" s="171"/>
      <c r="AE13" s="178"/>
      <c r="AF13" s="171"/>
      <c r="AG13" s="165" t="s">
        <v>54</v>
      </c>
      <c r="AH13" s="187" t="s">
        <v>55</v>
      </c>
      <c r="AI13" s="188" t="s">
        <v>56</v>
      </c>
      <c r="AJ13" s="188" t="s">
        <v>57</v>
      </c>
      <c r="AK13" s="188"/>
      <c r="AL13" s="188"/>
      <c r="AM13" s="188"/>
      <c r="AN13" s="188" t="s">
        <v>58</v>
      </c>
      <c r="AO13" s="188"/>
      <c r="AP13" s="194" t="s">
        <v>59</v>
      </c>
      <c r="AQ13" s="194"/>
      <c r="AR13" s="195"/>
      <c r="AS13" s="195"/>
      <c r="AT13" s="219"/>
      <c r="AU13" s="219"/>
      <c r="AV13" s="176" t="s">
        <v>60</v>
      </c>
      <c r="AW13" s="174" t="s">
        <v>61</v>
      </c>
      <c r="AX13" s="175"/>
      <c r="AY13" s="176"/>
      <c r="AZ13" s="192" t="s">
        <v>56</v>
      </c>
      <c r="BA13" s="220"/>
      <c r="BB13" s="220"/>
      <c r="BC13" s="199"/>
      <c r="BD13" s="199"/>
      <c r="BE13" s="199"/>
      <c r="BF13" s="213"/>
      <c r="BG13" s="208"/>
      <c r="BH13" s="199"/>
      <c r="BI13" s="199"/>
      <c r="BJ13" s="213"/>
      <c r="BK13" s="211"/>
      <c r="BL13" s="213"/>
      <c r="BM13" s="215"/>
      <c r="BN13" s="215"/>
      <c r="BO13" s="206"/>
    </row>
    <row r="14" spans="2:67" ht="15.75" customHeight="1" thickBot="1" x14ac:dyDescent="0.3">
      <c r="B14" s="179"/>
      <c r="C14" s="182"/>
      <c r="D14" s="185"/>
      <c r="E14" s="179"/>
      <c r="F14" s="173"/>
      <c r="G14" s="166" t="s">
        <v>62</v>
      </c>
      <c r="H14" s="166" t="s">
        <v>63</v>
      </c>
      <c r="I14" s="223"/>
      <c r="J14" s="196"/>
      <c r="K14" s="182"/>
      <c r="L14" s="182"/>
      <c r="M14" s="204"/>
      <c r="N14" s="205"/>
      <c r="O14" s="205"/>
      <c r="P14" s="168" t="s">
        <v>64</v>
      </c>
      <c r="Q14" s="168" t="s">
        <v>65</v>
      </c>
      <c r="R14" s="70" t="s">
        <v>66</v>
      </c>
      <c r="S14" s="168" t="s">
        <v>64</v>
      </c>
      <c r="T14" s="168" t="s">
        <v>65</v>
      </c>
      <c r="U14" s="70" t="s">
        <v>66</v>
      </c>
      <c r="V14" s="168" t="s">
        <v>45</v>
      </c>
      <c r="W14" s="168" t="s">
        <v>65</v>
      </c>
      <c r="X14" s="70" t="s">
        <v>66</v>
      </c>
      <c r="Y14" s="168" t="s">
        <v>45</v>
      </c>
      <c r="Z14" s="168" t="s">
        <v>65</v>
      </c>
      <c r="AA14" s="70" t="s">
        <v>66</v>
      </c>
      <c r="AB14" s="197"/>
      <c r="AC14" s="200"/>
      <c r="AD14" s="172"/>
      <c r="AE14" s="179"/>
      <c r="AF14" s="172"/>
      <c r="AG14" s="37" t="s">
        <v>67</v>
      </c>
      <c r="AH14" s="187"/>
      <c r="AI14" s="188"/>
      <c r="AJ14" s="169" t="s">
        <v>68</v>
      </c>
      <c r="AK14" s="169" t="s">
        <v>56</v>
      </c>
      <c r="AL14" s="39" t="s">
        <v>68</v>
      </c>
      <c r="AM14" s="39" t="s">
        <v>56</v>
      </c>
      <c r="AN14" s="39" t="s">
        <v>68</v>
      </c>
      <c r="AO14" s="39" t="s">
        <v>56</v>
      </c>
      <c r="AP14" s="39" t="s">
        <v>68</v>
      </c>
      <c r="AQ14" s="39" t="s">
        <v>56</v>
      </c>
      <c r="AR14" s="40" t="s">
        <v>68</v>
      </c>
      <c r="AS14" s="40" t="s">
        <v>56</v>
      </c>
      <c r="AT14" s="164" t="s">
        <v>68</v>
      </c>
      <c r="AU14" s="164" t="s">
        <v>56</v>
      </c>
      <c r="AV14" s="193"/>
      <c r="AW14" s="42" t="s">
        <v>69</v>
      </c>
      <c r="AX14" s="42" t="s">
        <v>70</v>
      </c>
      <c r="AY14" s="42" t="s">
        <v>71</v>
      </c>
      <c r="AZ14" s="193"/>
      <c r="BA14" s="167">
        <v>0.2</v>
      </c>
      <c r="BB14" s="167" t="s">
        <v>56</v>
      </c>
      <c r="BC14" s="200"/>
      <c r="BD14" s="200"/>
      <c r="BE14" s="200"/>
      <c r="BF14" s="214"/>
      <c r="BG14" s="209"/>
      <c r="BH14" s="200"/>
      <c r="BI14" s="200"/>
      <c r="BJ14" s="214"/>
      <c r="BK14" s="212"/>
      <c r="BL14" s="214"/>
      <c r="BM14" s="216"/>
      <c r="BN14" s="216"/>
      <c r="BO14" s="206"/>
    </row>
    <row r="15" spans="2:67" ht="15.75" customHeight="1" x14ac:dyDescent="0.25">
      <c r="B15" s="71" t="s">
        <v>72</v>
      </c>
      <c r="C15" s="71" t="s">
        <v>73</v>
      </c>
      <c r="D15" s="71" t="s">
        <v>74</v>
      </c>
      <c r="E15" s="71" t="s">
        <v>75</v>
      </c>
      <c r="F15" s="71">
        <v>1</v>
      </c>
      <c r="G15" s="71">
        <v>2</v>
      </c>
      <c r="H15" s="71">
        <v>3</v>
      </c>
      <c r="I15" s="71">
        <v>4</v>
      </c>
      <c r="J15" s="71">
        <v>5</v>
      </c>
      <c r="K15" s="71">
        <v>6</v>
      </c>
      <c r="L15" s="71">
        <v>7</v>
      </c>
      <c r="M15" s="71">
        <v>8</v>
      </c>
      <c r="N15" s="71">
        <v>9</v>
      </c>
      <c r="O15" s="71">
        <v>10</v>
      </c>
      <c r="P15" s="71">
        <v>11</v>
      </c>
      <c r="Q15" s="71">
        <v>12</v>
      </c>
      <c r="R15" s="71">
        <v>13</v>
      </c>
      <c r="S15" s="71">
        <v>14</v>
      </c>
      <c r="T15" s="71">
        <v>15</v>
      </c>
      <c r="U15" s="71">
        <v>16</v>
      </c>
      <c r="V15" s="71">
        <v>17</v>
      </c>
      <c r="W15" s="71">
        <v>18</v>
      </c>
      <c r="X15" s="71">
        <v>19</v>
      </c>
      <c r="Y15" s="71">
        <v>20</v>
      </c>
      <c r="Z15" s="71">
        <v>21</v>
      </c>
      <c r="AA15" s="71">
        <v>22</v>
      </c>
      <c r="AB15" s="71">
        <v>23</v>
      </c>
      <c r="AC15" s="44">
        <v>24</v>
      </c>
      <c r="AD15" s="44">
        <v>25</v>
      </c>
      <c r="AE15" s="44">
        <v>26</v>
      </c>
      <c r="AF15" s="44">
        <v>27</v>
      </c>
      <c r="AG15" s="44">
        <v>28</v>
      </c>
      <c r="AH15" s="44">
        <v>29</v>
      </c>
      <c r="AI15" s="44">
        <v>30</v>
      </c>
      <c r="AJ15" s="44">
        <v>31</v>
      </c>
      <c r="AK15" s="44">
        <v>32</v>
      </c>
      <c r="AL15" s="44">
        <v>33</v>
      </c>
      <c r="AM15" s="44">
        <v>34</v>
      </c>
      <c r="AN15" s="44">
        <v>35</v>
      </c>
      <c r="AO15" s="44">
        <v>36</v>
      </c>
      <c r="AP15" s="44">
        <v>37</v>
      </c>
      <c r="AQ15" s="44">
        <v>38</v>
      </c>
      <c r="AR15" s="44">
        <v>39</v>
      </c>
      <c r="AS15" s="44">
        <v>40</v>
      </c>
      <c r="AT15" s="44">
        <v>41</v>
      </c>
      <c r="AU15" s="44">
        <v>42</v>
      </c>
      <c r="AV15" s="44">
        <v>43</v>
      </c>
      <c r="AW15" s="44">
        <v>44</v>
      </c>
      <c r="AX15" s="44">
        <v>45</v>
      </c>
      <c r="AY15" s="44">
        <v>46</v>
      </c>
      <c r="AZ15" s="44">
        <v>47</v>
      </c>
      <c r="BA15" s="44">
        <v>48</v>
      </c>
      <c r="BB15" s="44">
        <v>49</v>
      </c>
      <c r="BC15" s="44">
        <v>50</v>
      </c>
      <c r="BD15" s="44">
        <v>51</v>
      </c>
      <c r="BE15" s="44">
        <v>52</v>
      </c>
      <c r="BF15" s="44">
        <v>53</v>
      </c>
      <c r="BG15" s="44">
        <v>54</v>
      </c>
      <c r="BH15" s="44">
        <v>55</v>
      </c>
      <c r="BI15" s="44">
        <v>57</v>
      </c>
      <c r="BJ15" s="141"/>
      <c r="BK15" s="44" t="s">
        <v>207</v>
      </c>
      <c r="BL15" s="44">
        <v>59</v>
      </c>
      <c r="BM15" s="44">
        <v>60</v>
      </c>
      <c r="BN15" s="44">
        <v>61</v>
      </c>
      <c r="BO15" s="44">
        <v>62</v>
      </c>
    </row>
    <row r="16" spans="2:67" ht="15.75" hidden="1" customHeight="1" x14ac:dyDescent="0.25">
      <c r="B16" s="72" t="s">
        <v>76</v>
      </c>
      <c r="C16" s="73" t="s">
        <v>77</v>
      </c>
      <c r="D16" s="72" t="s">
        <v>78</v>
      </c>
      <c r="E16" s="72" t="s">
        <v>79</v>
      </c>
      <c r="F16" s="74">
        <v>26</v>
      </c>
      <c r="G16" s="75">
        <v>42529</v>
      </c>
      <c r="H16" s="75">
        <v>44355</v>
      </c>
      <c r="I16" s="72" t="s">
        <v>80</v>
      </c>
      <c r="J16" s="72" t="s">
        <v>106</v>
      </c>
      <c r="K16" s="74" t="s">
        <v>81</v>
      </c>
      <c r="L16" s="76">
        <v>9.09</v>
      </c>
      <c r="M16" s="76">
        <v>4.79</v>
      </c>
      <c r="N16" s="77">
        <v>17697</v>
      </c>
      <c r="O16" s="78">
        <f t="shared" ref="O16:O44" si="0">SUM(N16*M16)</f>
        <v>84768.63</v>
      </c>
      <c r="P16" s="74"/>
      <c r="Q16" s="74">
        <v>4</v>
      </c>
      <c r="R16" s="74">
        <v>4</v>
      </c>
      <c r="S16" s="114"/>
      <c r="T16" s="114"/>
      <c r="U16" s="114"/>
      <c r="V16" s="78">
        <f>O16/18*P16</f>
        <v>0</v>
      </c>
      <c r="W16" s="78">
        <f>O16/18*Q16</f>
        <v>18837.473333333335</v>
      </c>
      <c r="X16" s="78">
        <f>O16/18*R16</f>
        <v>18837.473333333335</v>
      </c>
      <c r="Y16" s="79"/>
      <c r="Z16" s="79"/>
      <c r="AA16" s="79"/>
      <c r="AB16" s="78">
        <f>V16+W16+X16+Y16+Z16+AA16</f>
        <v>37674.94666666667</v>
      </c>
      <c r="AC16" s="78">
        <f>AB16*50%</f>
        <v>18837.473333333335</v>
      </c>
      <c r="AD16" s="78">
        <f>(AB16+AC16)*25%</f>
        <v>14128.105000000001</v>
      </c>
      <c r="AE16" s="78">
        <f>(AB16+AC16+AD16)*10%</f>
        <v>7064.0525000000016</v>
      </c>
      <c r="AF16" s="78">
        <f>AB16+AC16+AD16+AE16</f>
        <v>77704.577500000014</v>
      </c>
      <c r="AG16" s="120"/>
      <c r="AH16" s="125"/>
      <c r="AI16" s="125">
        <f t="shared" ref="AI16:AI22" ca="1" si="1">O16/18*AI:AT*40%</f>
        <v>0</v>
      </c>
      <c r="AJ16" s="125"/>
      <c r="AK16" s="125">
        <f t="shared" ref="AK16:AQ31" si="2">P16/18*2*40%</f>
        <v>0</v>
      </c>
      <c r="AL16" s="125">
        <f t="shared" si="2"/>
        <v>0.17777777777777778</v>
      </c>
      <c r="AM16" s="125">
        <f t="shared" si="2"/>
        <v>0.17777777777777778</v>
      </c>
      <c r="AN16" s="125">
        <f t="shared" si="2"/>
        <v>0</v>
      </c>
      <c r="AO16" s="125">
        <f t="shared" si="2"/>
        <v>0</v>
      </c>
      <c r="AP16" s="125">
        <f t="shared" si="2"/>
        <v>0</v>
      </c>
      <c r="AQ16" s="125">
        <f t="shared" si="2"/>
        <v>0</v>
      </c>
      <c r="AR16" s="125">
        <f>AN16+AP16</f>
        <v>0</v>
      </c>
      <c r="AS16" s="125">
        <f>AO16+AQ16</f>
        <v>0</v>
      </c>
      <c r="AT16" s="125">
        <f>AL16+AR16</f>
        <v>0.17777777777777778</v>
      </c>
      <c r="AU16" s="125">
        <f>AM16+AS16</f>
        <v>0.17777777777777778</v>
      </c>
      <c r="AV16" s="126"/>
      <c r="AW16" s="126"/>
      <c r="AX16" s="127"/>
      <c r="AY16" s="126"/>
      <c r="AZ16" s="128">
        <f>(AW16*AV16*50%+Q16*AX16*50%)+(Q16*AY16*60%)</f>
        <v>0</v>
      </c>
      <c r="BA16" s="129"/>
      <c r="BB16" s="129"/>
      <c r="BC16" s="126">
        <v>10</v>
      </c>
      <c r="BD16" s="125">
        <f>(AB16+AC16+AD16+AB60+AC60+AD60)*30%</f>
        <v>26490.196874999998</v>
      </c>
      <c r="BE16" s="125">
        <f>N16*10%*10</f>
        <v>17697</v>
      </c>
      <c r="BF16" s="125">
        <v>10</v>
      </c>
      <c r="BG16" s="125">
        <f>(AB16+AC16+AD16+AB60+AC60+AD60)*35%</f>
        <v>30905.229687499999</v>
      </c>
      <c r="BH16" s="126"/>
      <c r="BI16" s="126">
        <f>2917*10</f>
        <v>29170</v>
      </c>
      <c r="BJ16" s="126"/>
      <c r="BK16" s="120">
        <f t="shared" ref="BK16:BK22" si="3">AG16+AS16+AZ16+BB16+BD16+BE16+BG16+BH16+BI16</f>
        <v>104262.4265625</v>
      </c>
      <c r="BL16" s="120">
        <f t="shared" ref="BL16:BL44" si="4">AF16+BK16</f>
        <v>181967.00406250003</v>
      </c>
      <c r="BM16" s="120">
        <f t="shared" ref="BM16:BM44" si="5">AC16+AD16+AE16+BD16+BE16</f>
        <v>84216.827708333338</v>
      </c>
      <c r="BN16" s="120">
        <f>BL16-BM16</f>
        <v>97750.176354166688</v>
      </c>
      <c r="BO16" s="120">
        <f>BL16*12</f>
        <v>2183604.0487500001</v>
      </c>
    </row>
    <row r="17" spans="2:67" ht="15.75" hidden="1" customHeight="1" x14ac:dyDescent="0.25">
      <c r="B17" s="80" t="s">
        <v>82</v>
      </c>
      <c r="C17" s="74" t="s">
        <v>83</v>
      </c>
      <c r="D17" s="72" t="s">
        <v>84</v>
      </c>
      <c r="E17" s="72" t="s">
        <v>79</v>
      </c>
      <c r="F17" s="74">
        <v>46</v>
      </c>
      <c r="G17" s="75">
        <v>43458</v>
      </c>
      <c r="H17" s="75">
        <v>45284</v>
      </c>
      <c r="I17" s="72" t="s">
        <v>85</v>
      </c>
      <c r="J17" s="72" t="s">
        <v>92</v>
      </c>
      <c r="K17" s="74" t="s">
        <v>87</v>
      </c>
      <c r="L17" s="76">
        <v>33.049999999999997</v>
      </c>
      <c r="M17" s="82">
        <v>5.41</v>
      </c>
      <c r="N17" s="77">
        <v>17697</v>
      </c>
      <c r="O17" s="78">
        <f t="shared" si="0"/>
        <v>95740.77</v>
      </c>
      <c r="P17" s="74"/>
      <c r="Q17" s="79">
        <v>5</v>
      </c>
      <c r="R17" s="74">
        <v>4</v>
      </c>
      <c r="S17" s="114"/>
      <c r="T17" s="115"/>
      <c r="U17" s="114"/>
      <c r="V17" s="78">
        <f t="shared" ref="V17:V44" si="6">O17/18*P17</f>
        <v>0</v>
      </c>
      <c r="W17" s="78">
        <f t="shared" ref="W17:W44" si="7">O17/18*Q17</f>
        <v>26594.658333333336</v>
      </c>
      <c r="X17" s="78">
        <f t="shared" ref="X17:X44" si="8">O17/18*R17</f>
        <v>21275.726666666669</v>
      </c>
      <c r="Y17" s="79"/>
      <c r="Z17" s="79"/>
      <c r="AA17" s="79"/>
      <c r="AB17" s="78">
        <f t="shared" ref="AB17:AB44" si="9">V17+W17+X17+Y17+Z17+AA17</f>
        <v>47870.385000000009</v>
      </c>
      <c r="AC17" s="78">
        <f t="shared" ref="AC17:AC44" si="10">AB17*50%</f>
        <v>23935.192500000005</v>
      </c>
      <c r="AD17" s="78">
        <f t="shared" ref="AD17:AD79" si="11">(AB17+AC17)*25%</f>
        <v>17951.394375000003</v>
      </c>
      <c r="AE17" s="78">
        <f t="shared" ref="AE17:AE44" si="12">(AB17+AC17+AD17)*10%</f>
        <v>8975.6971875000017</v>
      </c>
      <c r="AF17" s="78">
        <f t="shared" ref="AF17:AF44" si="13">AB17+AC17+AD17+AE17</f>
        <v>98732.669062500019</v>
      </c>
      <c r="AG17" s="120"/>
      <c r="AH17" s="125"/>
      <c r="AI17" s="125">
        <f t="shared" ca="1" si="1"/>
        <v>0</v>
      </c>
      <c r="AJ17" s="125"/>
      <c r="AK17" s="125">
        <f t="shared" si="2"/>
        <v>0</v>
      </c>
      <c r="AL17" s="125">
        <f t="shared" ref="AL17:AL44" si="14">AH17</f>
        <v>0</v>
      </c>
      <c r="AM17" s="125">
        <f t="shared" ref="AM17:AM44" ca="1" si="15">AI17+AK17</f>
        <v>0</v>
      </c>
      <c r="AN17" s="130">
        <v>4.5</v>
      </c>
      <c r="AO17" s="125">
        <f>N17/18*AN17*50%</f>
        <v>2212.125</v>
      </c>
      <c r="AP17" s="125"/>
      <c r="AQ17" s="125">
        <f t="shared" si="2"/>
        <v>0</v>
      </c>
      <c r="AR17" s="131">
        <f t="shared" ref="AR17:AS44" si="16">AN17+AP17</f>
        <v>4.5</v>
      </c>
      <c r="AS17" s="125">
        <f t="shared" si="16"/>
        <v>2212.125</v>
      </c>
      <c r="AT17" s="131">
        <f t="shared" ref="AT17:AU44" si="17">AL17+AR17</f>
        <v>4.5</v>
      </c>
      <c r="AU17" s="125">
        <f>AS17</f>
        <v>2212.125</v>
      </c>
      <c r="AV17" s="126"/>
      <c r="AW17" s="126"/>
      <c r="AX17" s="126"/>
      <c r="AY17" s="126"/>
      <c r="AZ17" s="125"/>
      <c r="BA17" s="129"/>
      <c r="BB17" s="129"/>
      <c r="BC17" s="126">
        <v>9</v>
      </c>
      <c r="BD17" s="125">
        <f t="shared" ref="BD17:BD25" si="18">(AB17+AC17+AD17)*30%</f>
        <v>26927.091562500005</v>
      </c>
      <c r="BE17" s="125"/>
      <c r="BF17" s="125">
        <v>9</v>
      </c>
      <c r="BG17" s="125">
        <f>(AB17+AC17+AD17)*40%</f>
        <v>35902.788750000007</v>
      </c>
      <c r="BH17" s="125"/>
      <c r="BI17" s="125"/>
      <c r="BJ17" s="125"/>
      <c r="BK17" s="120">
        <f t="shared" si="3"/>
        <v>65042.005312500012</v>
      </c>
      <c r="BL17" s="120">
        <f t="shared" si="4"/>
        <v>163774.67437500003</v>
      </c>
      <c r="BM17" s="120">
        <f t="shared" si="5"/>
        <v>77789.375625000015</v>
      </c>
      <c r="BN17" s="120">
        <f t="shared" ref="BN17:BN44" si="19">BL17-BM17</f>
        <v>85985.298750000016</v>
      </c>
      <c r="BO17" s="120">
        <f t="shared" ref="BO17:BO44" si="20">BL17*12</f>
        <v>1965296.0925000003</v>
      </c>
    </row>
    <row r="18" spans="2:67" ht="15.75" hidden="1" customHeight="1" x14ac:dyDescent="0.25">
      <c r="B18" s="80" t="s">
        <v>82</v>
      </c>
      <c r="C18" s="74" t="s">
        <v>83</v>
      </c>
      <c r="D18" s="72" t="s">
        <v>84</v>
      </c>
      <c r="E18" s="72" t="s">
        <v>79</v>
      </c>
      <c r="F18" s="74">
        <v>46</v>
      </c>
      <c r="G18" s="75">
        <v>43458</v>
      </c>
      <c r="H18" s="75">
        <v>45284</v>
      </c>
      <c r="I18" s="72" t="s">
        <v>85</v>
      </c>
      <c r="J18" s="72" t="s">
        <v>86</v>
      </c>
      <c r="K18" s="74" t="s">
        <v>87</v>
      </c>
      <c r="L18" s="76">
        <v>33.049999999999997</v>
      </c>
      <c r="M18" s="82">
        <v>5.41</v>
      </c>
      <c r="N18" s="77">
        <v>17697</v>
      </c>
      <c r="O18" s="78">
        <f t="shared" si="0"/>
        <v>95740.77</v>
      </c>
      <c r="P18" s="74"/>
      <c r="Q18" s="79"/>
      <c r="R18" s="74">
        <v>2</v>
      </c>
      <c r="S18" s="114"/>
      <c r="T18" s="115"/>
      <c r="U18" s="114"/>
      <c r="V18" s="78">
        <f t="shared" si="6"/>
        <v>0</v>
      </c>
      <c r="W18" s="78">
        <f t="shared" si="7"/>
        <v>0</v>
      </c>
      <c r="X18" s="78">
        <f t="shared" si="8"/>
        <v>10637.863333333335</v>
      </c>
      <c r="Y18" s="79"/>
      <c r="Z18" s="107"/>
      <c r="AA18" s="79"/>
      <c r="AB18" s="78">
        <f t="shared" si="9"/>
        <v>10637.863333333335</v>
      </c>
      <c r="AC18" s="78">
        <f t="shared" si="10"/>
        <v>5318.9316666666673</v>
      </c>
      <c r="AD18" s="78">
        <f t="shared" si="11"/>
        <v>3989.1987500000005</v>
      </c>
      <c r="AE18" s="78">
        <f t="shared" si="12"/>
        <v>1994.5993750000002</v>
      </c>
      <c r="AF18" s="78">
        <f t="shared" si="13"/>
        <v>21940.593125000003</v>
      </c>
      <c r="AG18" s="120"/>
      <c r="AH18" s="125"/>
      <c r="AI18" s="125">
        <f t="shared" ca="1" si="1"/>
        <v>0</v>
      </c>
      <c r="AJ18" s="125"/>
      <c r="AK18" s="125">
        <f t="shared" si="2"/>
        <v>0</v>
      </c>
      <c r="AL18" s="125"/>
      <c r="AM18" s="125">
        <f t="shared" ca="1" si="15"/>
        <v>0</v>
      </c>
      <c r="AN18" s="130">
        <v>1</v>
      </c>
      <c r="AO18" s="125">
        <f>N18/18*AN18*50%</f>
        <v>491.58333333333331</v>
      </c>
      <c r="AP18" s="125"/>
      <c r="AQ18" s="125">
        <f t="shared" si="2"/>
        <v>0</v>
      </c>
      <c r="AR18" s="125">
        <f t="shared" si="16"/>
        <v>1</v>
      </c>
      <c r="AS18" s="125">
        <f t="shared" si="16"/>
        <v>491.58333333333331</v>
      </c>
      <c r="AT18" s="125">
        <f t="shared" si="17"/>
        <v>1</v>
      </c>
      <c r="AU18" s="125">
        <f>AS18</f>
        <v>491.58333333333331</v>
      </c>
      <c r="AV18" s="126"/>
      <c r="AW18" s="126"/>
      <c r="AX18" s="126"/>
      <c r="AY18" s="126"/>
      <c r="AZ18" s="125"/>
      <c r="BA18" s="129"/>
      <c r="BB18" s="129"/>
      <c r="BC18" s="126">
        <v>2</v>
      </c>
      <c r="BD18" s="125">
        <f t="shared" si="18"/>
        <v>5983.7981250000003</v>
      </c>
      <c r="BE18" s="125"/>
      <c r="BF18" s="125">
        <v>2</v>
      </c>
      <c r="BG18" s="125">
        <f>(AB18+AC18+AD18)*40%</f>
        <v>7978.3975000000009</v>
      </c>
      <c r="BH18" s="125"/>
      <c r="BI18" s="125"/>
      <c r="BJ18" s="125"/>
      <c r="BK18" s="120">
        <f t="shared" si="3"/>
        <v>14453.778958333334</v>
      </c>
      <c r="BL18" s="120">
        <f t="shared" si="4"/>
        <v>36394.372083333335</v>
      </c>
      <c r="BM18" s="120">
        <f t="shared" si="5"/>
        <v>17286.527916666666</v>
      </c>
      <c r="BN18" s="120">
        <f t="shared" si="19"/>
        <v>19107.844166666669</v>
      </c>
      <c r="BO18" s="120">
        <f t="shared" si="20"/>
        <v>436732.46500000003</v>
      </c>
    </row>
    <row r="19" spans="2:67" ht="15.75" hidden="1" customHeight="1" x14ac:dyDescent="0.25">
      <c r="B19" s="72" t="s">
        <v>88</v>
      </c>
      <c r="C19" s="74" t="s">
        <v>89</v>
      </c>
      <c r="D19" s="72" t="s">
        <v>90</v>
      </c>
      <c r="E19" s="72" t="s">
        <v>79</v>
      </c>
      <c r="F19" s="74">
        <v>47</v>
      </c>
      <c r="G19" s="75">
        <v>43335</v>
      </c>
      <c r="H19" s="75">
        <v>45161</v>
      </c>
      <c r="I19" s="72" t="s">
        <v>91</v>
      </c>
      <c r="J19" s="72" t="s">
        <v>92</v>
      </c>
      <c r="K19" s="74" t="s">
        <v>87</v>
      </c>
      <c r="L19" s="76">
        <v>20.079999999999998</v>
      </c>
      <c r="M19" s="82">
        <v>5.32</v>
      </c>
      <c r="N19" s="77">
        <v>17697</v>
      </c>
      <c r="O19" s="78">
        <f t="shared" si="0"/>
        <v>94148.040000000008</v>
      </c>
      <c r="P19" s="74"/>
      <c r="Q19" s="74">
        <v>12</v>
      </c>
      <c r="R19" s="74">
        <v>4</v>
      </c>
      <c r="S19" s="114"/>
      <c r="T19" s="115"/>
      <c r="U19" s="114"/>
      <c r="V19" s="78">
        <f t="shared" si="6"/>
        <v>0</v>
      </c>
      <c r="W19" s="78">
        <f t="shared" si="7"/>
        <v>62765.36</v>
      </c>
      <c r="X19" s="78">
        <f t="shared" si="8"/>
        <v>20921.786666666667</v>
      </c>
      <c r="Y19" s="79"/>
      <c r="Z19" s="79"/>
      <c r="AA19" s="79"/>
      <c r="AB19" s="78">
        <f t="shared" si="9"/>
        <v>83687.146666666667</v>
      </c>
      <c r="AC19" s="78">
        <f t="shared" si="10"/>
        <v>41843.573333333334</v>
      </c>
      <c r="AD19" s="78">
        <f t="shared" si="11"/>
        <v>31382.68</v>
      </c>
      <c r="AE19" s="78">
        <f t="shared" si="12"/>
        <v>15691.34</v>
      </c>
      <c r="AF19" s="78">
        <f t="shared" si="13"/>
        <v>172604.74</v>
      </c>
      <c r="AG19" s="120"/>
      <c r="AH19" s="125"/>
      <c r="AI19" s="125">
        <f t="shared" ca="1" si="1"/>
        <v>0</v>
      </c>
      <c r="AJ19" s="125"/>
      <c r="AK19" s="125">
        <f t="shared" si="2"/>
        <v>0</v>
      </c>
      <c r="AL19" s="125">
        <f t="shared" si="14"/>
        <v>0</v>
      </c>
      <c r="AM19" s="125">
        <f t="shared" ca="1" si="15"/>
        <v>0</v>
      </c>
      <c r="AN19" s="125"/>
      <c r="AO19" s="125">
        <f t="shared" ref="AO19:AO44" si="21">N19/18*AN19*40%</f>
        <v>0</v>
      </c>
      <c r="AP19" s="125"/>
      <c r="AQ19" s="125">
        <f t="shared" si="2"/>
        <v>0</v>
      </c>
      <c r="AR19" s="125">
        <f t="shared" si="16"/>
        <v>0</v>
      </c>
      <c r="AS19" s="125">
        <f t="shared" si="16"/>
        <v>0</v>
      </c>
      <c r="AT19" s="125">
        <f t="shared" si="17"/>
        <v>0</v>
      </c>
      <c r="AU19" s="125">
        <f t="shared" ca="1" si="17"/>
        <v>0.17777777777777778</v>
      </c>
      <c r="AV19" s="126"/>
      <c r="AW19" s="126"/>
      <c r="AX19" s="126"/>
      <c r="AY19" s="126"/>
      <c r="AZ19" s="125"/>
      <c r="BA19" s="129"/>
      <c r="BB19" s="129"/>
      <c r="BC19" s="126">
        <v>17</v>
      </c>
      <c r="BD19" s="125">
        <f>(AB19+AC19+AD19+AB49+AC49+AD49)*30%</f>
        <v>50016.146249999998</v>
      </c>
      <c r="BE19" s="125"/>
      <c r="BF19" s="131" t="s">
        <v>233</v>
      </c>
      <c r="BG19" s="125">
        <f>(AB19+AC19+AD19+AB49+AC49+AD49)*40%</f>
        <v>66688.194999999992</v>
      </c>
      <c r="BH19" s="125"/>
      <c r="BI19" s="125"/>
      <c r="BJ19" s="125"/>
      <c r="BK19" s="120">
        <f t="shared" si="3"/>
        <v>116704.34125</v>
      </c>
      <c r="BL19" s="120">
        <f t="shared" si="4"/>
        <v>289309.08124999999</v>
      </c>
      <c r="BM19" s="120">
        <f t="shared" si="5"/>
        <v>138933.73958333331</v>
      </c>
      <c r="BN19" s="120">
        <f t="shared" si="19"/>
        <v>150375.34166666667</v>
      </c>
      <c r="BO19" s="120">
        <f t="shared" si="20"/>
        <v>3471708.9749999996</v>
      </c>
    </row>
    <row r="20" spans="2:67" ht="15.75" hidden="1" customHeight="1" x14ac:dyDescent="0.25">
      <c r="B20" s="72" t="s">
        <v>88</v>
      </c>
      <c r="C20" s="74" t="s">
        <v>93</v>
      </c>
      <c r="D20" s="72" t="s">
        <v>90</v>
      </c>
      <c r="E20" s="72" t="s">
        <v>79</v>
      </c>
      <c r="F20" s="74">
        <v>47</v>
      </c>
      <c r="G20" s="75">
        <v>43335</v>
      </c>
      <c r="H20" s="75">
        <v>45161</v>
      </c>
      <c r="I20" s="72" t="s">
        <v>91</v>
      </c>
      <c r="J20" s="72" t="s">
        <v>92</v>
      </c>
      <c r="K20" s="74" t="s">
        <v>87</v>
      </c>
      <c r="L20" s="76">
        <v>20.079999999999998</v>
      </c>
      <c r="M20" s="82">
        <v>5.32</v>
      </c>
      <c r="N20" s="77">
        <v>17697</v>
      </c>
      <c r="O20" s="78">
        <f t="shared" si="0"/>
        <v>94148.040000000008</v>
      </c>
      <c r="P20" s="74"/>
      <c r="Q20" s="74">
        <v>1</v>
      </c>
      <c r="R20" s="74"/>
      <c r="S20" s="114"/>
      <c r="T20" s="114"/>
      <c r="U20" s="114"/>
      <c r="V20" s="78">
        <f t="shared" si="6"/>
        <v>0</v>
      </c>
      <c r="W20" s="78">
        <f t="shared" si="7"/>
        <v>5230.4466666666667</v>
      </c>
      <c r="X20" s="78">
        <f t="shared" si="8"/>
        <v>0</v>
      </c>
      <c r="Y20" s="79"/>
      <c r="Z20" s="79"/>
      <c r="AA20" s="79"/>
      <c r="AB20" s="78">
        <f t="shared" si="9"/>
        <v>5230.4466666666667</v>
      </c>
      <c r="AC20" s="78">
        <f t="shared" si="10"/>
        <v>2615.2233333333334</v>
      </c>
      <c r="AD20" s="78">
        <f t="shared" si="11"/>
        <v>1961.4175</v>
      </c>
      <c r="AE20" s="78">
        <f t="shared" si="12"/>
        <v>980.70875000000001</v>
      </c>
      <c r="AF20" s="78">
        <f t="shared" si="13"/>
        <v>10787.796249999999</v>
      </c>
      <c r="AG20" s="120"/>
      <c r="AH20" s="125"/>
      <c r="AI20" s="125">
        <f t="shared" ca="1" si="1"/>
        <v>0</v>
      </c>
      <c r="AJ20" s="125"/>
      <c r="AK20" s="125">
        <f t="shared" si="2"/>
        <v>0</v>
      </c>
      <c r="AL20" s="125">
        <f t="shared" si="14"/>
        <v>0</v>
      </c>
      <c r="AM20" s="125">
        <f t="shared" ca="1" si="15"/>
        <v>0</v>
      </c>
      <c r="AN20" s="125"/>
      <c r="AO20" s="125">
        <f t="shared" si="21"/>
        <v>0</v>
      </c>
      <c r="AP20" s="125"/>
      <c r="AQ20" s="125">
        <f t="shared" si="2"/>
        <v>0</v>
      </c>
      <c r="AR20" s="125">
        <f t="shared" si="16"/>
        <v>0</v>
      </c>
      <c r="AS20" s="125">
        <f t="shared" si="16"/>
        <v>0</v>
      </c>
      <c r="AT20" s="125">
        <f t="shared" si="17"/>
        <v>0</v>
      </c>
      <c r="AU20" s="125">
        <f t="shared" ca="1" si="17"/>
        <v>0.17777777777777778</v>
      </c>
      <c r="AV20" s="126"/>
      <c r="AW20" s="126"/>
      <c r="AX20" s="126"/>
      <c r="AY20" s="126"/>
      <c r="AZ20" s="125"/>
      <c r="BA20" s="129"/>
      <c r="BB20" s="129"/>
      <c r="BC20" s="126">
        <v>1</v>
      </c>
      <c r="BD20" s="125">
        <f t="shared" si="18"/>
        <v>2942.1262499999998</v>
      </c>
      <c r="BE20" s="125"/>
      <c r="BF20" s="125">
        <v>1</v>
      </c>
      <c r="BG20" s="125">
        <f>(AB20+AC20+AD20)*40%</f>
        <v>3922.835</v>
      </c>
      <c r="BH20" s="125"/>
      <c r="BI20" s="125"/>
      <c r="BJ20" s="125"/>
      <c r="BK20" s="120">
        <f t="shared" si="3"/>
        <v>6864.9612500000003</v>
      </c>
      <c r="BL20" s="120">
        <f t="shared" si="4"/>
        <v>17652.7575</v>
      </c>
      <c r="BM20" s="120">
        <f t="shared" si="5"/>
        <v>8499.475833333332</v>
      </c>
      <c r="BN20" s="120">
        <f t="shared" si="19"/>
        <v>9153.2816666666677</v>
      </c>
      <c r="BO20" s="120">
        <f t="shared" si="20"/>
        <v>211833.09</v>
      </c>
    </row>
    <row r="21" spans="2:67" ht="15.75" hidden="1" customHeight="1" x14ac:dyDescent="0.25">
      <c r="B21" s="80" t="s">
        <v>94</v>
      </c>
      <c r="C21" s="74" t="s">
        <v>95</v>
      </c>
      <c r="D21" s="72" t="s">
        <v>96</v>
      </c>
      <c r="E21" s="72" t="s">
        <v>79</v>
      </c>
      <c r="F21" s="74">
        <v>56</v>
      </c>
      <c r="G21" s="75">
        <v>43458</v>
      </c>
      <c r="H21" s="72" t="s">
        <v>97</v>
      </c>
      <c r="I21" s="72" t="s">
        <v>98</v>
      </c>
      <c r="J21" s="72" t="s">
        <v>86</v>
      </c>
      <c r="K21" s="74" t="s">
        <v>87</v>
      </c>
      <c r="L21" s="76">
        <v>22.09</v>
      </c>
      <c r="M21" s="76">
        <v>5.32</v>
      </c>
      <c r="N21" s="77">
        <v>17697</v>
      </c>
      <c r="O21" s="78">
        <f t="shared" si="0"/>
        <v>94148.040000000008</v>
      </c>
      <c r="P21" s="74"/>
      <c r="Q21" s="74">
        <v>8</v>
      </c>
      <c r="R21" s="74">
        <v>4</v>
      </c>
      <c r="S21" s="114"/>
      <c r="T21" s="114"/>
      <c r="U21" s="114"/>
      <c r="V21" s="78">
        <f t="shared" si="6"/>
        <v>0</v>
      </c>
      <c r="W21" s="78">
        <f t="shared" si="7"/>
        <v>41843.573333333334</v>
      </c>
      <c r="X21" s="78">
        <f t="shared" si="8"/>
        <v>20921.786666666667</v>
      </c>
      <c r="Y21" s="79"/>
      <c r="Z21" s="79"/>
      <c r="AA21" s="79"/>
      <c r="AB21" s="78">
        <f t="shared" si="9"/>
        <v>62765.36</v>
      </c>
      <c r="AC21" s="78">
        <f t="shared" si="10"/>
        <v>31382.68</v>
      </c>
      <c r="AD21" s="78">
        <f t="shared" si="11"/>
        <v>23537.010000000002</v>
      </c>
      <c r="AE21" s="78">
        <f t="shared" si="12"/>
        <v>11768.505000000003</v>
      </c>
      <c r="AF21" s="78">
        <f t="shared" si="13"/>
        <v>129453.55500000002</v>
      </c>
      <c r="AG21" s="120"/>
      <c r="AH21" s="125"/>
      <c r="AI21" s="125">
        <f t="shared" ca="1" si="1"/>
        <v>0</v>
      </c>
      <c r="AJ21" s="125"/>
      <c r="AK21" s="125">
        <f t="shared" si="2"/>
        <v>0</v>
      </c>
      <c r="AL21" s="125">
        <f t="shared" si="14"/>
        <v>0</v>
      </c>
      <c r="AM21" s="125">
        <f t="shared" ca="1" si="15"/>
        <v>0</v>
      </c>
      <c r="AN21" s="125"/>
      <c r="AO21" s="125">
        <f t="shared" si="21"/>
        <v>0</v>
      </c>
      <c r="AP21" s="125"/>
      <c r="AQ21" s="125">
        <f t="shared" si="2"/>
        <v>0</v>
      </c>
      <c r="AR21" s="125">
        <f t="shared" si="16"/>
        <v>0</v>
      </c>
      <c r="AS21" s="125">
        <f t="shared" si="16"/>
        <v>0</v>
      </c>
      <c r="AT21" s="125">
        <f t="shared" si="17"/>
        <v>0</v>
      </c>
      <c r="AU21" s="125">
        <f t="shared" ca="1" si="17"/>
        <v>0.17777777777777778</v>
      </c>
      <c r="AV21" s="126"/>
      <c r="AW21" s="126"/>
      <c r="AX21" s="130"/>
      <c r="AY21" s="126"/>
      <c r="AZ21" s="125"/>
      <c r="BA21" s="129"/>
      <c r="BB21" s="129"/>
      <c r="BC21" s="126">
        <v>14</v>
      </c>
      <c r="BD21" s="125">
        <f>(AB21+AC21+AD21+AB64+AC64+AD64)*30%</f>
        <v>41189.767500000002</v>
      </c>
      <c r="BE21" s="125"/>
      <c r="BF21" s="125">
        <v>14</v>
      </c>
      <c r="BG21" s="125">
        <f>(AB21+AC21+AD21+AB64+AC64+AD64)*40%</f>
        <v>54919.69</v>
      </c>
      <c r="BH21" s="125"/>
      <c r="BI21" s="125"/>
      <c r="BJ21" s="125"/>
      <c r="BK21" s="120">
        <f t="shared" si="3"/>
        <v>96109.457500000004</v>
      </c>
      <c r="BL21" s="120">
        <f t="shared" si="4"/>
        <v>225563.01250000001</v>
      </c>
      <c r="BM21" s="120">
        <f t="shared" si="5"/>
        <v>107877.96250000001</v>
      </c>
      <c r="BN21" s="120">
        <f t="shared" si="19"/>
        <v>117685.05</v>
      </c>
      <c r="BO21" s="120">
        <f t="shared" si="20"/>
        <v>2706756.1500000004</v>
      </c>
    </row>
    <row r="22" spans="2:67" ht="15.75" hidden="1" customHeight="1" x14ac:dyDescent="0.25">
      <c r="B22" s="80" t="s">
        <v>94</v>
      </c>
      <c r="C22" s="74" t="s">
        <v>142</v>
      </c>
      <c r="D22" s="72" t="s">
        <v>96</v>
      </c>
      <c r="E22" s="72" t="s">
        <v>79</v>
      </c>
      <c r="F22" s="74"/>
      <c r="G22" s="75"/>
      <c r="H22" s="72"/>
      <c r="I22" s="72"/>
      <c r="J22" s="72" t="s">
        <v>156</v>
      </c>
      <c r="K22" s="74" t="s">
        <v>157</v>
      </c>
      <c r="L22" s="76">
        <v>22.09</v>
      </c>
      <c r="M22" s="76">
        <v>4.67</v>
      </c>
      <c r="N22" s="77">
        <v>17697</v>
      </c>
      <c r="O22" s="78">
        <f t="shared" si="0"/>
        <v>82644.990000000005</v>
      </c>
      <c r="P22" s="74"/>
      <c r="Q22" s="74">
        <v>9</v>
      </c>
      <c r="R22" s="74">
        <v>4</v>
      </c>
      <c r="S22" s="114"/>
      <c r="T22" s="114"/>
      <c r="U22" s="114"/>
      <c r="V22" s="78">
        <f t="shared" si="6"/>
        <v>0</v>
      </c>
      <c r="W22" s="78">
        <f t="shared" si="7"/>
        <v>41322.495000000003</v>
      </c>
      <c r="X22" s="78">
        <f t="shared" si="8"/>
        <v>18365.553333333333</v>
      </c>
      <c r="Y22" s="79"/>
      <c r="Z22" s="79"/>
      <c r="AA22" s="79"/>
      <c r="AB22" s="78">
        <f t="shared" si="9"/>
        <v>59688.04833333334</v>
      </c>
      <c r="AC22" s="78">
        <f t="shared" si="10"/>
        <v>29844.02416666667</v>
      </c>
      <c r="AD22" s="78">
        <f t="shared" si="11"/>
        <v>22383.018125000002</v>
      </c>
      <c r="AE22" s="78">
        <f t="shared" si="12"/>
        <v>11191.509062500001</v>
      </c>
      <c r="AF22" s="78">
        <f t="shared" si="13"/>
        <v>123106.59968750001</v>
      </c>
      <c r="AG22" s="120"/>
      <c r="AH22" s="125"/>
      <c r="AI22" s="125">
        <f t="shared" ca="1" si="1"/>
        <v>0</v>
      </c>
      <c r="AJ22" s="125"/>
      <c r="AK22" s="125">
        <f t="shared" si="2"/>
        <v>0</v>
      </c>
      <c r="AL22" s="125">
        <f t="shared" si="14"/>
        <v>0</v>
      </c>
      <c r="AM22" s="125">
        <f t="shared" ca="1" si="15"/>
        <v>0</v>
      </c>
      <c r="AN22" s="125"/>
      <c r="AO22" s="125">
        <f t="shared" si="21"/>
        <v>0</v>
      </c>
      <c r="AP22" s="125"/>
      <c r="AQ22" s="125">
        <f t="shared" si="2"/>
        <v>0</v>
      </c>
      <c r="AR22" s="125">
        <f t="shared" si="16"/>
        <v>0</v>
      </c>
      <c r="AS22" s="125">
        <f t="shared" si="16"/>
        <v>0</v>
      </c>
      <c r="AT22" s="125">
        <f t="shared" si="17"/>
        <v>0</v>
      </c>
      <c r="AU22" s="125">
        <f t="shared" ca="1" si="17"/>
        <v>0.17777777777777778</v>
      </c>
      <c r="AV22" s="126"/>
      <c r="AW22" s="126"/>
      <c r="AX22" s="130"/>
      <c r="AY22" s="126"/>
      <c r="AZ22" s="125"/>
      <c r="BA22" s="129"/>
      <c r="BB22" s="129"/>
      <c r="BC22" s="126">
        <v>13</v>
      </c>
      <c r="BD22" s="125">
        <f t="shared" si="18"/>
        <v>33574.527187500003</v>
      </c>
      <c r="BE22" s="125"/>
      <c r="BF22" s="125"/>
      <c r="BG22" s="125"/>
      <c r="BH22" s="125"/>
      <c r="BI22" s="125"/>
      <c r="BJ22" s="125"/>
      <c r="BK22" s="120">
        <f t="shared" si="3"/>
        <v>33574.527187500003</v>
      </c>
      <c r="BL22" s="120">
        <f t="shared" si="4"/>
        <v>156681.12687500002</v>
      </c>
      <c r="BM22" s="120">
        <f t="shared" si="5"/>
        <v>96993.078541666677</v>
      </c>
      <c r="BN22" s="120">
        <f t="shared" si="19"/>
        <v>59688.04833333334</v>
      </c>
      <c r="BO22" s="120">
        <f t="shared" si="20"/>
        <v>1880173.5225000002</v>
      </c>
    </row>
    <row r="23" spans="2:67" ht="15.75" hidden="1" customHeight="1" x14ac:dyDescent="0.25">
      <c r="B23" s="83" t="s">
        <v>99</v>
      </c>
      <c r="C23" s="74" t="s">
        <v>130</v>
      </c>
      <c r="D23" s="163" t="s">
        <v>100</v>
      </c>
      <c r="E23" s="72" t="s">
        <v>79</v>
      </c>
      <c r="F23" s="74">
        <v>48</v>
      </c>
      <c r="G23" s="75">
        <v>43335</v>
      </c>
      <c r="H23" s="75">
        <v>45161</v>
      </c>
      <c r="I23" s="72" t="s">
        <v>101</v>
      </c>
      <c r="J23" s="72" t="s">
        <v>92</v>
      </c>
      <c r="K23" s="74" t="s">
        <v>87</v>
      </c>
      <c r="L23" s="84">
        <v>17.05</v>
      </c>
      <c r="M23" s="76">
        <v>5.24</v>
      </c>
      <c r="N23" s="77">
        <v>17697</v>
      </c>
      <c r="O23" s="78">
        <f t="shared" si="0"/>
        <v>92732.28</v>
      </c>
      <c r="P23" s="74">
        <v>21</v>
      </c>
      <c r="Q23" s="74"/>
      <c r="R23" s="74"/>
      <c r="S23" s="114"/>
      <c r="T23" s="114"/>
      <c r="U23" s="114"/>
      <c r="V23" s="78">
        <f t="shared" si="6"/>
        <v>108187.65999999999</v>
      </c>
      <c r="W23" s="78">
        <f t="shared" si="7"/>
        <v>0</v>
      </c>
      <c r="X23" s="78">
        <f t="shared" si="8"/>
        <v>0</v>
      </c>
      <c r="Y23" s="79"/>
      <c r="Z23" s="79"/>
      <c r="AA23" s="79"/>
      <c r="AB23" s="78">
        <f t="shared" si="9"/>
        <v>108187.65999999999</v>
      </c>
      <c r="AC23" s="78">
        <f t="shared" si="10"/>
        <v>54093.829999999994</v>
      </c>
      <c r="AD23" s="78">
        <f t="shared" si="11"/>
        <v>40570.372499999998</v>
      </c>
      <c r="AE23" s="78">
        <f t="shared" si="12"/>
        <v>20285.186249999999</v>
      </c>
      <c r="AF23" s="78">
        <f t="shared" si="13"/>
        <v>223137.04874999999</v>
      </c>
      <c r="AG23" s="120"/>
      <c r="AH23" s="131">
        <v>10.5</v>
      </c>
      <c r="AI23" s="125">
        <f>N23/18*AH23*40%</f>
        <v>4129.3</v>
      </c>
      <c r="AJ23" s="125"/>
      <c r="AK23" s="125"/>
      <c r="AL23" s="131">
        <f t="shared" si="14"/>
        <v>10.5</v>
      </c>
      <c r="AM23" s="125">
        <f>AI23</f>
        <v>4129.3</v>
      </c>
      <c r="AN23" s="125"/>
      <c r="AO23" s="125">
        <f t="shared" si="21"/>
        <v>0</v>
      </c>
      <c r="AP23" s="125"/>
      <c r="AQ23" s="125"/>
      <c r="AR23" s="125">
        <f t="shared" si="16"/>
        <v>0</v>
      </c>
      <c r="AS23" s="125">
        <f t="shared" si="16"/>
        <v>0</v>
      </c>
      <c r="AT23" s="125">
        <f t="shared" si="17"/>
        <v>10.5</v>
      </c>
      <c r="AU23" s="125">
        <f t="shared" si="17"/>
        <v>4129.3</v>
      </c>
      <c r="AV23" s="131" t="s">
        <v>206</v>
      </c>
      <c r="AW23" s="130">
        <v>1</v>
      </c>
      <c r="AX23" s="127"/>
      <c r="AY23" s="126"/>
      <c r="AZ23" s="125">
        <f>N23*50%</f>
        <v>8848.5</v>
      </c>
      <c r="BA23" s="129"/>
      <c r="BB23" s="129"/>
      <c r="BC23" s="126">
        <v>23</v>
      </c>
      <c r="BD23" s="125">
        <f>(AB23+AC23+AD23+AB67+AC67+AD67+AB71+AC71+AD71)*30%</f>
        <v>66651.326249999984</v>
      </c>
      <c r="BE23" s="125"/>
      <c r="BF23" s="131" t="s">
        <v>234</v>
      </c>
      <c r="BG23" s="125">
        <f>(AB23+AC23+AD23+AB67+AC67+AD67+AB71+AC71+AD71)*40%</f>
        <v>88868.434999999998</v>
      </c>
      <c r="BH23" s="125"/>
      <c r="BI23" s="125"/>
      <c r="BJ23" s="125"/>
      <c r="BK23" s="120">
        <f>AG23+AS23+AZ23+BB23+BD23+BE23+BG23+BH23+BI23+AU23</f>
        <v>168497.56124999997</v>
      </c>
      <c r="BL23" s="120">
        <f t="shared" si="4"/>
        <v>391634.61</v>
      </c>
      <c r="BM23" s="120">
        <f t="shared" si="5"/>
        <v>181600.71499999997</v>
      </c>
      <c r="BN23" s="120">
        <f t="shared" si="19"/>
        <v>210033.89500000002</v>
      </c>
      <c r="BO23" s="120">
        <f t="shared" si="20"/>
        <v>4699615.32</v>
      </c>
    </row>
    <row r="24" spans="2:67" ht="15.75" hidden="1" customHeight="1" x14ac:dyDescent="0.25">
      <c r="B24" s="72" t="s">
        <v>102</v>
      </c>
      <c r="C24" s="74" t="s">
        <v>103</v>
      </c>
      <c r="D24" s="85" t="s">
        <v>104</v>
      </c>
      <c r="E24" s="72" t="s">
        <v>79</v>
      </c>
      <c r="F24" s="74">
        <v>53</v>
      </c>
      <c r="G24" s="75">
        <v>43335</v>
      </c>
      <c r="H24" s="75">
        <v>45161</v>
      </c>
      <c r="I24" s="72" t="s">
        <v>105</v>
      </c>
      <c r="J24" s="72" t="s">
        <v>106</v>
      </c>
      <c r="K24" s="74" t="s">
        <v>81</v>
      </c>
      <c r="L24" s="76">
        <v>14.05</v>
      </c>
      <c r="M24" s="76">
        <v>4.95</v>
      </c>
      <c r="N24" s="77">
        <v>17697</v>
      </c>
      <c r="O24" s="78">
        <f t="shared" si="0"/>
        <v>87600.150000000009</v>
      </c>
      <c r="P24" s="74"/>
      <c r="Q24" s="74"/>
      <c r="R24" s="74">
        <v>2</v>
      </c>
      <c r="S24" s="114"/>
      <c r="T24" s="114"/>
      <c r="U24" s="114"/>
      <c r="V24" s="78">
        <f t="shared" si="6"/>
        <v>0</v>
      </c>
      <c r="W24" s="78">
        <f t="shared" si="7"/>
        <v>0</v>
      </c>
      <c r="X24" s="78"/>
      <c r="Y24" s="79"/>
      <c r="Z24" s="79"/>
      <c r="AA24" s="79"/>
      <c r="AB24" s="78">
        <f t="shared" si="9"/>
        <v>0</v>
      </c>
      <c r="AC24" s="78">
        <f t="shared" si="10"/>
        <v>0</v>
      </c>
      <c r="AD24" s="78">
        <f t="shared" si="11"/>
        <v>0</v>
      </c>
      <c r="AE24" s="78">
        <f t="shared" si="12"/>
        <v>0</v>
      </c>
      <c r="AF24" s="78">
        <f t="shared" si="13"/>
        <v>0</v>
      </c>
      <c r="AG24" s="120"/>
      <c r="AH24" s="125"/>
      <c r="AI24" s="125">
        <f t="shared" ref="AI24:AI44" si="22">N24/18*AH24*40%</f>
        <v>0</v>
      </c>
      <c r="AJ24" s="125"/>
      <c r="AK24" s="125">
        <f t="shared" si="2"/>
        <v>0</v>
      </c>
      <c r="AL24" s="125">
        <f t="shared" si="14"/>
        <v>0</v>
      </c>
      <c r="AM24" s="125">
        <f t="shared" si="15"/>
        <v>0</v>
      </c>
      <c r="AN24" s="125"/>
      <c r="AO24" s="125">
        <f t="shared" si="21"/>
        <v>0</v>
      </c>
      <c r="AP24" s="125"/>
      <c r="AQ24" s="125">
        <f t="shared" si="2"/>
        <v>0</v>
      </c>
      <c r="AR24" s="125">
        <f t="shared" si="16"/>
        <v>0</v>
      </c>
      <c r="AS24" s="125">
        <f t="shared" si="16"/>
        <v>0</v>
      </c>
      <c r="AT24" s="125">
        <f t="shared" si="17"/>
        <v>0</v>
      </c>
      <c r="AU24" s="125">
        <f t="shared" si="17"/>
        <v>0</v>
      </c>
      <c r="AV24" s="126"/>
      <c r="AW24" s="126"/>
      <c r="AX24" s="130"/>
      <c r="AY24" s="126"/>
      <c r="AZ24" s="125"/>
      <c r="BA24" s="129"/>
      <c r="BB24" s="129"/>
      <c r="BC24" s="126"/>
      <c r="BD24" s="125">
        <f t="shared" si="18"/>
        <v>0</v>
      </c>
      <c r="BE24" s="125"/>
      <c r="BF24" s="125"/>
      <c r="BG24" s="125">
        <f>(AB24+AC24+AD24)*35%</f>
        <v>0</v>
      </c>
      <c r="BH24" s="125"/>
      <c r="BI24" s="125"/>
      <c r="BJ24" s="125"/>
      <c r="BK24" s="120">
        <f>AG24+AS24+AZ24+BB24+BD24+BE24+BG24+BH24+BI24+AU24</f>
        <v>0</v>
      </c>
      <c r="BL24" s="120">
        <f t="shared" si="4"/>
        <v>0</v>
      </c>
      <c r="BM24" s="120">
        <f t="shared" si="5"/>
        <v>0</v>
      </c>
      <c r="BN24" s="120">
        <f t="shared" si="19"/>
        <v>0</v>
      </c>
      <c r="BO24" s="120">
        <f t="shared" si="20"/>
        <v>0</v>
      </c>
    </row>
    <row r="25" spans="2:67" ht="15.75" hidden="1" customHeight="1" x14ac:dyDescent="0.25">
      <c r="B25" s="72" t="s">
        <v>153</v>
      </c>
      <c r="C25" s="74" t="s">
        <v>154</v>
      </c>
      <c r="D25" s="85" t="s">
        <v>109</v>
      </c>
      <c r="E25" s="72" t="s">
        <v>79</v>
      </c>
      <c r="F25" s="74">
        <v>20</v>
      </c>
      <c r="G25" s="72"/>
      <c r="H25" s="72"/>
      <c r="I25" s="72" t="s">
        <v>155</v>
      </c>
      <c r="J25" s="72" t="s">
        <v>156</v>
      </c>
      <c r="K25" s="74" t="s">
        <v>157</v>
      </c>
      <c r="L25" s="76">
        <v>21.08</v>
      </c>
      <c r="M25" s="82">
        <v>4.67</v>
      </c>
      <c r="N25" s="77">
        <v>17697</v>
      </c>
      <c r="O25" s="78">
        <f t="shared" si="0"/>
        <v>82644.990000000005</v>
      </c>
      <c r="P25" s="74"/>
      <c r="Q25" s="74">
        <v>5</v>
      </c>
      <c r="R25" s="74">
        <v>4</v>
      </c>
      <c r="S25" s="114"/>
      <c r="T25" s="115"/>
      <c r="U25" s="114"/>
      <c r="V25" s="78">
        <f t="shared" si="6"/>
        <v>0</v>
      </c>
      <c r="W25" s="78">
        <f t="shared" si="7"/>
        <v>22956.941666666666</v>
      </c>
      <c r="X25" s="78">
        <f t="shared" si="8"/>
        <v>18365.553333333333</v>
      </c>
      <c r="Y25" s="79"/>
      <c r="Z25" s="79"/>
      <c r="AA25" s="79"/>
      <c r="AB25" s="78">
        <f t="shared" si="9"/>
        <v>41322.494999999995</v>
      </c>
      <c r="AC25" s="78">
        <f t="shared" si="10"/>
        <v>20661.247499999998</v>
      </c>
      <c r="AD25" s="78">
        <f t="shared" si="11"/>
        <v>15495.935624999998</v>
      </c>
      <c r="AE25" s="78">
        <f t="shared" si="12"/>
        <v>7747.9678124999991</v>
      </c>
      <c r="AF25" s="78">
        <f t="shared" si="13"/>
        <v>85227.645937499998</v>
      </c>
      <c r="AG25" s="120"/>
      <c r="AH25" s="125"/>
      <c r="AI25" s="125">
        <f t="shared" si="22"/>
        <v>0</v>
      </c>
      <c r="AJ25" s="125"/>
      <c r="AK25" s="125">
        <f t="shared" si="2"/>
        <v>0</v>
      </c>
      <c r="AL25" s="125">
        <f t="shared" si="14"/>
        <v>0</v>
      </c>
      <c r="AM25" s="125">
        <f t="shared" si="15"/>
        <v>0</v>
      </c>
      <c r="AN25" s="125"/>
      <c r="AO25" s="125">
        <f t="shared" si="21"/>
        <v>0</v>
      </c>
      <c r="AP25" s="131" t="s">
        <v>214</v>
      </c>
      <c r="AQ25" s="125">
        <f>N25/18*AP25*40%</f>
        <v>1769.7</v>
      </c>
      <c r="AR25" s="131">
        <f t="shared" si="16"/>
        <v>4.5</v>
      </c>
      <c r="AS25" s="125">
        <f t="shared" si="16"/>
        <v>1769.7</v>
      </c>
      <c r="AT25" s="125">
        <f t="shared" si="17"/>
        <v>4.5</v>
      </c>
      <c r="AU25" s="125">
        <f t="shared" si="17"/>
        <v>1769.7</v>
      </c>
      <c r="AV25" s="126"/>
      <c r="AW25" s="126"/>
      <c r="AX25" s="126"/>
      <c r="AY25" s="126"/>
      <c r="AZ25" s="125"/>
      <c r="BA25" s="129"/>
      <c r="BB25" s="129"/>
      <c r="BC25" s="126">
        <v>9</v>
      </c>
      <c r="BD25" s="125">
        <f t="shared" si="18"/>
        <v>23243.903437499997</v>
      </c>
      <c r="BE25" s="125"/>
      <c r="BF25" s="125"/>
      <c r="BG25" s="125"/>
      <c r="BH25" s="126"/>
      <c r="BI25" s="126"/>
      <c r="BJ25" s="126"/>
      <c r="BK25" s="120">
        <f>AU25+AZ25+BB25+BD25+BE25+BG25+BH25+BI25</f>
        <v>25013.603437499998</v>
      </c>
      <c r="BL25" s="120">
        <f t="shared" si="4"/>
        <v>110241.249375</v>
      </c>
      <c r="BM25" s="120">
        <f t="shared" si="5"/>
        <v>67149.054374999992</v>
      </c>
      <c r="BN25" s="120">
        <f t="shared" si="19"/>
        <v>43092.195000000007</v>
      </c>
      <c r="BO25" s="120">
        <f t="shared" si="20"/>
        <v>1322894.9924999999</v>
      </c>
    </row>
    <row r="26" spans="2:67" ht="15.75" hidden="1" customHeight="1" x14ac:dyDescent="0.25">
      <c r="B26" s="72" t="s">
        <v>107</v>
      </c>
      <c r="C26" s="74" t="s">
        <v>108</v>
      </c>
      <c r="D26" s="85" t="s">
        <v>109</v>
      </c>
      <c r="E26" s="72" t="s">
        <v>79</v>
      </c>
      <c r="F26" s="74">
        <v>21</v>
      </c>
      <c r="G26" s="75"/>
      <c r="H26" s="72"/>
      <c r="I26" s="72" t="s">
        <v>110</v>
      </c>
      <c r="J26" s="72" t="s">
        <v>182</v>
      </c>
      <c r="K26" s="74" t="s">
        <v>87</v>
      </c>
      <c r="L26" s="76">
        <v>21.08</v>
      </c>
      <c r="M26" s="82">
        <v>5.32</v>
      </c>
      <c r="N26" s="77">
        <v>17697</v>
      </c>
      <c r="O26" s="78">
        <f t="shared" si="0"/>
        <v>94148.040000000008</v>
      </c>
      <c r="P26" s="74"/>
      <c r="Q26" s="74">
        <v>6</v>
      </c>
      <c r="R26" s="74">
        <v>4</v>
      </c>
      <c r="S26" s="114"/>
      <c r="T26" s="114"/>
      <c r="U26" s="115"/>
      <c r="V26" s="78">
        <f t="shared" si="6"/>
        <v>0</v>
      </c>
      <c r="W26" s="78">
        <f t="shared" si="7"/>
        <v>31382.68</v>
      </c>
      <c r="X26" s="78">
        <f t="shared" si="8"/>
        <v>20921.786666666667</v>
      </c>
      <c r="Y26" s="79"/>
      <c r="Z26" s="79"/>
      <c r="AA26" s="79"/>
      <c r="AB26" s="78">
        <f t="shared" si="9"/>
        <v>52304.466666666667</v>
      </c>
      <c r="AC26" s="78">
        <f t="shared" si="10"/>
        <v>26152.233333333334</v>
      </c>
      <c r="AD26" s="78">
        <f t="shared" si="11"/>
        <v>19614.174999999999</v>
      </c>
      <c r="AE26" s="78">
        <f t="shared" si="12"/>
        <v>9807.0874999999996</v>
      </c>
      <c r="AF26" s="78">
        <f t="shared" si="13"/>
        <v>107877.96249999999</v>
      </c>
      <c r="AG26" s="120"/>
      <c r="AH26" s="125"/>
      <c r="AI26" s="125">
        <f t="shared" si="22"/>
        <v>0</v>
      </c>
      <c r="AJ26" s="125"/>
      <c r="AK26" s="125">
        <f t="shared" si="2"/>
        <v>0</v>
      </c>
      <c r="AL26" s="125">
        <f t="shared" si="14"/>
        <v>0</v>
      </c>
      <c r="AM26" s="125">
        <f t="shared" si="15"/>
        <v>0</v>
      </c>
      <c r="AN26" s="125"/>
      <c r="AO26" s="125">
        <f t="shared" si="21"/>
        <v>0</v>
      </c>
      <c r="AP26" s="125">
        <v>5</v>
      </c>
      <c r="AQ26" s="125">
        <f t="shared" ref="AQ26:AQ44" si="23">N26/18*AP26*40%</f>
        <v>1966.3333333333333</v>
      </c>
      <c r="AR26" s="131">
        <f t="shared" si="16"/>
        <v>5</v>
      </c>
      <c r="AS26" s="125">
        <f t="shared" si="16"/>
        <v>1966.3333333333333</v>
      </c>
      <c r="AT26" s="125">
        <f t="shared" si="17"/>
        <v>5</v>
      </c>
      <c r="AU26" s="125">
        <f t="shared" si="17"/>
        <v>1966.3333333333333</v>
      </c>
      <c r="AV26" s="126">
        <v>11</v>
      </c>
      <c r="AW26" s="126"/>
      <c r="AX26" s="126"/>
      <c r="AY26" s="126">
        <v>1</v>
      </c>
      <c r="AZ26" s="125">
        <f>N26*60%</f>
        <v>10618.199999999999</v>
      </c>
      <c r="BA26" s="129">
        <v>1</v>
      </c>
      <c r="BB26" s="129">
        <f>N26*20%</f>
        <v>3539.4</v>
      </c>
      <c r="BC26" s="126">
        <v>12</v>
      </c>
      <c r="BD26" s="125">
        <f>(AB26+AC26+AD26+AB65+AC65+AD65)*30%</f>
        <v>35305.515000000007</v>
      </c>
      <c r="BE26" s="125">
        <f>BE16</f>
        <v>17697</v>
      </c>
      <c r="BF26" s="125">
        <v>12</v>
      </c>
      <c r="BG26" s="125">
        <f>(AB26+AC26+AD26+AB65+AC65+AD65)*35%</f>
        <v>41189.767500000002</v>
      </c>
      <c r="BH26" s="125"/>
      <c r="BI26" s="125"/>
      <c r="BJ26" s="125"/>
      <c r="BK26" s="120">
        <f>AG26+AU26+AZ26+BB26+BD26+BE26+BG26</f>
        <v>110316.21583333334</v>
      </c>
      <c r="BL26" s="120">
        <f t="shared" si="4"/>
        <v>218194.17833333334</v>
      </c>
      <c r="BM26" s="120">
        <f t="shared" si="5"/>
        <v>108576.01083333333</v>
      </c>
      <c r="BN26" s="120">
        <f t="shared" si="19"/>
        <v>109618.16750000001</v>
      </c>
      <c r="BO26" s="120">
        <f t="shared" si="20"/>
        <v>2618330.14</v>
      </c>
    </row>
    <row r="27" spans="2:67" ht="15.75" hidden="1" customHeight="1" x14ac:dyDescent="0.25">
      <c r="B27" s="80" t="s">
        <v>111</v>
      </c>
      <c r="C27" s="74" t="s">
        <v>112</v>
      </c>
      <c r="D27" s="72" t="s">
        <v>113</v>
      </c>
      <c r="E27" s="72" t="s">
        <v>79</v>
      </c>
      <c r="F27" s="74">
        <v>50</v>
      </c>
      <c r="G27" s="75">
        <v>43335</v>
      </c>
      <c r="H27" s="75">
        <v>45161</v>
      </c>
      <c r="I27" s="72" t="s">
        <v>114</v>
      </c>
      <c r="J27" s="72" t="s">
        <v>92</v>
      </c>
      <c r="K27" s="74" t="s">
        <v>87</v>
      </c>
      <c r="L27" s="76">
        <v>21.09</v>
      </c>
      <c r="M27" s="76">
        <v>5.32</v>
      </c>
      <c r="N27" s="77">
        <v>17697</v>
      </c>
      <c r="O27" s="78">
        <f t="shared" si="0"/>
        <v>94148.040000000008</v>
      </c>
      <c r="P27" s="74"/>
      <c r="Q27" s="74">
        <v>17.5</v>
      </c>
      <c r="R27" s="74">
        <v>6</v>
      </c>
      <c r="S27" s="114"/>
      <c r="T27" s="115"/>
      <c r="U27" s="114"/>
      <c r="V27" s="78">
        <f t="shared" si="6"/>
        <v>0</v>
      </c>
      <c r="W27" s="78">
        <f t="shared" si="7"/>
        <v>91532.816666666666</v>
      </c>
      <c r="X27" s="78">
        <f t="shared" si="8"/>
        <v>31382.68</v>
      </c>
      <c r="Y27" s="79"/>
      <c r="Z27" s="79"/>
      <c r="AA27" s="79"/>
      <c r="AB27" s="78">
        <f t="shared" si="9"/>
        <v>122915.49666666667</v>
      </c>
      <c r="AC27" s="78">
        <f t="shared" si="10"/>
        <v>61457.748333333337</v>
      </c>
      <c r="AD27" s="78">
        <f t="shared" si="11"/>
        <v>46093.311249999999</v>
      </c>
      <c r="AE27" s="78">
        <f t="shared" si="12"/>
        <v>23046.655624999999</v>
      </c>
      <c r="AF27" s="78">
        <f t="shared" si="13"/>
        <v>253513.21187499998</v>
      </c>
      <c r="AG27" s="120"/>
      <c r="AH27" s="125"/>
      <c r="AI27" s="125">
        <f t="shared" si="22"/>
        <v>0</v>
      </c>
      <c r="AJ27" s="125"/>
      <c r="AK27" s="125">
        <f t="shared" si="2"/>
        <v>0</v>
      </c>
      <c r="AL27" s="125">
        <f t="shared" si="14"/>
        <v>0</v>
      </c>
      <c r="AM27" s="125">
        <f t="shared" si="15"/>
        <v>0</v>
      </c>
      <c r="AN27" s="125"/>
      <c r="AO27" s="125">
        <f t="shared" si="21"/>
        <v>0</v>
      </c>
      <c r="AP27" s="131" t="s">
        <v>224</v>
      </c>
      <c r="AQ27" s="125">
        <f>N27/18*AP27*40%</f>
        <v>4620.8833333333332</v>
      </c>
      <c r="AR27" s="131">
        <f t="shared" si="16"/>
        <v>11.75</v>
      </c>
      <c r="AS27" s="125">
        <f t="shared" si="16"/>
        <v>4620.8833333333332</v>
      </c>
      <c r="AT27" s="131">
        <f t="shared" si="17"/>
        <v>11.75</v>
      </c>
      <c r="AU27" s="125">
        <f t="shared" si="17"/>
        <v>4620.8833333333332</v>
      </c>
      <c r="AV27" s="126">
        <v>10</v>
      </c>
      <c r="AW27" s="126"/>
      <c r="AX27" s="130"/>
      <c r="AY27" s="126">
        <v>1</v>
      </c>
      <c r="AZ27" s="125">
        <f>N27*60%</f>
        <v>10618.199999999999</v>
      </c>
      <c r="BA27" s="129">
        <v>1</v>
      </c>
      <c r="BB27" s="129">
        <f>N27*20%</f>
        <v>3539.4</v>
      </c>
      <c r="BC27" s="126">
        <v>25.5</v>
      </c>
      <c r="BD27" s="125">
        <f>(AB27+AC27+AD27+AB59+AC59+AD59)*30%</f>
        <v>75024.219374999986</v>
      </c>
      <c r="BE27" s="125"/>
      <c r="BF27" s="131" t="s">
        <v>237</v>
      </c>
      <c r="BG27" s="125">
        <f>(AB27+AC27+AD27+AB59+AC59+AD59)*40%</f>
        <v>100032.2925</v>
      </c>
      <c r="BH27" s="125"/>
      <c r="BI27" s="125"/>
      <c r="BJ27" s="125"/>
      <c r="BK27" s="120">
        <f>AG27+AU27+AZ27+BB27+BD27+BE27+BG27</f>
        <v>193834.9952083333</v>
      </c>
      <c r="BL27" s="120">
        <f t="shared" si="4"/>
        <v>447348.20708333328</v>
      </c>
      <c r="BM27" s="120">
        <f t="shared" si="5"/>
        <v>205621.93458333332</v>
      </c>
      <c r="BN27" s="120">
        <f t="shared" si="19"/>
        <v>241726.27249999996</v>
      </c>
      <c r="BO27" s="120">
        <f t="shared" si="20"/>
        <v>5368178.4849999994</v>
      </c>
    </row>
    <row r="28" spans="2:67" ht="15.75" hidden="1" customHeight="1" x14ac:dyDescent="0.25">
      <c r="B28" s="72" t="s">
        <v>115</v>
      </c>
      <c r="C28" s="74" t="s">
        <v>116</v>
      </c>
      <c r="D28" s="72" t="s">
        <v>117</v>
      </c>
      <c r="E28" s="72" t="s">
        <v>118</v>
      </c>
      <c r="F28" s="74">
        <v>32</v>
      </c>
      <c r="G28" s="75">
        <v>42529</v>
      </c>
      <c r="H28" s="75">
        <v>44355</v>
      </c>
      <c r="I28" s="72" t="s">
        <v>119</v>
      </c>
      <c r="J28" s="72" t="s">
        <v>106</v>
      </c>
      <c r="K28" s="74" t="s">
        <v>239</v>
      </c>
      <c r="L28" s="76">
        <v>37.01</v>
      </c>
      <c r="M28" s="76">
        <v>4.29</v>
      </c>
      <c r="N28" s="77">
        <v>17697</v>
      </c>
      <c r="O28" s="78">
        <f t="shared" si="0"/>
        <v>75920.13</v>
      </c>
      <c r="P28" s="74"/>
      <c r="Q28" s="73">
        <v>5</v>
      </c>
      <c r="R28" s="73"/>
      <c r="S28" s="114"/>
      <c r="T28" s="114"/>
      <c r="U28" s="114"/>
      <c r="V28" s="78">
        <f t="shared" si="6"/>
        <v>0</v>
      </c>
      <c r="W28" s="78">
        <f t="shared" si="7"/>
        <v>21088.924999999999</v>
      </c>
      <c r="X28" s="78">
        <f t="shared" si="8"/>
        <v>0</v>
      </c>
      <c r="Y28" s="79"/>
      <c r="Z28" s="79"/>
      <c r="AA28" s="79"/>
      <c r="AB28" s="78">
        <f t="shared" si="9"/>
        <v>21088.924999999999</v>
      </c>
      <c r="AC28" s="78">
        <f t="shared" si="10"/>
        <v>10544.4625</v>
      </c>
      <c r="AD28" s="78">
        <f t="shared" si="11"/>
        <v>7908.3468749999993</v>
      </c>
      <c r="AE28" s="78">
        <f t="shared" si="12"/>
        <v>3954.1734375000001</v>
      </c>
      <c r="AF28" s="78">
        <f t="shared" si="13"/>
        <v>43495.907812500001</v>
      </c>
      <c r="AG28" s="120"/>
      <c r="AH28" s="125"/>
      <c r="AI28" s="125">
        <f t="shared" si="22"/>
        <v>0</v>
      </c>
      <c r="AJ28" s="125"/>
      <c r="AK28" s="125">
        <f t="shared" si="2"/>
        <v>0</v>
      </c>
      <c r="AL28" s="125">
        <f t="shared" si="14"/>
        <v>0</v>
      </c>
      <c r="AM28" s="125">
        <f t="shared" si="15"/>
        <v>0</v>
      </c>
      <c r="AN28" s="125"/>
      <c r="AO28" s="125">
        <f t="shared" si="21"/>
        <v>0</v>
      </c>
      <c r="AP28" s="125"/>
      <c r="AQ28" s="125">
        <f t="shared" si="23"/>
        <v>0</v>
      </c>
      <c r="AR28" s="131">
        <f t="shared" si="16"/>
        <v>0</v>
      </c>
      <c r="AS28" s="125">
        <f t="shared" si="16"/>
        <v>0</v>
      </c>
      <c r="AT28" s="125">
        <f t="shared" si="17"/>
        <v>0</v>
      </c>
      <c r="AU28" s="125">
        <f t="shared" si="17"/>
        <v>0</v>
      </c>
      <c r="AV28" s="126"/>
      <c r="AW28" s="126"/>
      <c r="AX28" s="130"/>
      <c r="AY28" s="126"/>
      <c r="AZ28" s="125"/>
      <c r="BA28" s="129"/>
      <c r="BB28" s="129"/>
      <c r="BC28" s="126">
        <v>15</v>
      </c>
      <c r="BD28" s="125">
        <f>(AB28+AC28+AD28+AB50+AC50+AD50+AB70+AC70+AD70+AB53+AC53+AD53+AB55+AC55+AD55+AB57+AC57+AD57)*30%</f>
        <v>35587.560937499999</v>
      </c>
      <c r="BE28" s="125"/>
      <c r="BF28" s="131" t="s">
        <v>209</v>
      </c>
      <c r="BG28" s="125">
        <f>(AB28+AC28+AD28+AB50+AC50+AD50+AB53+AC53+AD53+AB55+AC55+AD55+AB57+AC57+AD57+AB70+AC70+AD70)*35%</f>
        <v>41518.821093749997</v>
      </c>
      <c r="BH28" s="125"/>
      <c r="BI28" s="125"/>
      <c r="BJ28" s="125"/>
      <c r="BK28" s="120">
        <f>AG28+AU28+AZ28+BB28+BD28+BE28+BG28</f>
        <v>77106.382031249988</v>
      </c>
      <c r="BL28" s="120">
        <f t="shared" si="4"/>
        <v>120602.28984374998</v>
      </c>
      <c r="BM28" s="120">
        <f t="shared" si="5"/>
        <v>57994.543749999997</v>
      </c>
      <c r="BN28" s="120">
        <f t="shared" si="19"/>
        <v>62607.746093749985</v>
      </c>
      <c r="BO28" s="120">
        <f t="shared" si="20"/>
        <v>1447227.4781249999</v>
      </c>
    </row>
    <row r="29" spans="2:67" ht="15.75" hidden="1" customHeight="1" x14ac:dyDescent="0.25">
      <c r="B29" s="29" t="s">
        <v>120</v>
      </c>
      <c r="C29" s="74" t="s">
        <v>121</v>
      </c>
      <c r="D29" s="72" t="s">
        <v>122</v>
      </c>
      <c r="E29" s="72" t="s">
        <v>79</v>
      </c>
      <c r="F29" s="74">
        <v>49</v>
      </c>
      <c r="G29" s="75">
        <v>43335</v>
      </c>
      <c r="H29" s="75">
        <v>45161</v>
      </c>
      <c r="I29" s="72" t="s">
        <v>123</v>
      </c>
      <c r="J29" s="72" t="s">
        <v>92</v>
      </c>
      <c r="K29" s="74" t="s">
        <v>87</v>
      </c>
      <c r="L29" s="76">
        <v>17.04</v>
      </c>
      <c r="M29" s="76">
        <v>5.24</v>
      </c>
      <c r="N29" s="77">
        <v>17697</v>
      </c>
      <c r="O29" s="78">
        <f t="shared" si="0"/>
        <v>92732.28</v>
      </c>
      <c r="P29" s="74">
        <v>8</v>
      </c>
      <c r="Q29" s="74">
        <v>12</v>
      </c>
      <c r="R29" s="86">
        <v>6</v>
      </c>
      <c r="S29" s="114"/>
      <c r="T29" s="114"/>
      <c r="U29" s="114"/>
      <c r="V29" s="78">
        <f t="shared" si="6"/>
        <v>41214.346666666665</v>
      </c>
      <c r="W29" s="78">
        <f t="shared" si="7"/>
        <v>61821.52</v>
      </c>
      <c r="X29" s="78">
        <f t="shared" si="8"/>
        <v>30910.76</v>
      </c>
      <c r="Y29" s="79"/>
      <c r="Z29" s="79"/>
      <c r="AA29" s="79"/>
      <c r="AB29" s="78">
        <f t="shared" si="9"/>
        <v>133946.62666666668</v>
      </c>
      <c r="AC29" s="78">
        <f t="shared" si="10"/>
        <v>66973.313333333339</v>
      </c>
      <c r="AD29" s="78">
        <f t="shared" si="11"/>
        <v>50229.985000000001</v>
      </c>
      <c r="AE29" s="78">
        <f t="shared" si="12"/>
        <v>25114.9925</v>
      </c>
      <c r="AF29" s="78">
        <f t="shared" si="13"/>
        <v>276264.91749999998</v>
      </c>
      <c r="AG29" s="120"/>
      <c r="AH29" s="125"/>
      <c r="AI29" s="125">
        <f t="shared" si="22"/>
        <v>0</v>
      </c>
      <c r="AJ29" s="125">
        <v>4</v>
      </c>
      <c r="AK29" s="125">
        <f>N29/18*AJ29*50%</f>
        <v>1966.3333333333333</v>
      </c>
      <c r="AL29" s="125">
        <f>AJ29</f>
        <v>4</v>
      </c>
      <c r="AM29" s="125">
        <f t="shared" si="15"/>
        <v>1966.3333333333333</v>
      </c>
      <c r="AN29" s="125"/>
      <c r="AO29" s="125">
        <f t="shared" si="21"/>
        <v>0</v>
      </c>
      <c r="AP29" s="125">
        <v>9</v>
      </c>
      <c r="AQ29" s="125">
        <f t="shared" si="23"/>
        <v>3539.4</v>
      </c>
      <c r="AR29" s="131">
        <f t="shared" si="16"/>
        <v>9</v>
      </c>
      <c r="AS29" s="125">
        <f t="shared" si="16"/>
        <v>3539.4</v>
      </c>
      <c r="AT29" s="125">
        <f t="shared" si="17"/>
        <v>13</v>
      </c>
      <c r="AU29" s="125">
        <f t="shared" si="17"/>
        <v>5505.7333333333336</v>
      </c>
      <c r="AV29" s="126">
        <v>9</v>
      </c>
      <c r="AW29" s="126"/>
      <c r="AX29" s="130">
        <v>1</v>
      </c>
      <c r="AY29" s="126"/>
      <c r="AZ29" s="125">
        <f t="shared" ref="AZ29" si="24">N29*60%</f>
        <v>10618.199999999999</v>
      </c>
      <c r="BA29" s="129"/>
      <c r="BB29" s="129"/>
      <c r="BC29" s="126">
        <v>26</v>
      </c>
      <c r="BD29" s="125">
        <f t="shared" ref="BD29:BD44" si="25">(AB29+AC29+AD29)*30%</f>
        <v>75344.977499999994</v>
      </c>
      <c r="BE29" s="125"/>
      <c r="BF29" s="125">
        <v>26</v>
      </c>
      <c r="BG29" s="125">
        <f>(AB29+AC29+AD29)*40%</f>
        <v>100459.97</v>
      </c>
      <c r="BH29" s="125">
        <f>7079/18*8</f>
        <v>3146.2222222222222</v>
      </c>
      <c r="BI29" s="125"/>
      <c r="BJ29" s="125"/>
      <c r="BK29" s="120">
        <f>AG29+AU29+AZ29+BB29+BD29+BE29+BG29+BH29</f>
        <v>195075.10305555555</v>
      </c>
      <c r="BL29" s="120">
        <f t="shared" si="4"/>
        <v>471340.02055555553</v>
      </c>
      <c r="BM29" s="120">
        <f t="shared" si="5"/>
        <v>217663.26833333331</v>
      </c>
      <c r="BN29" s="120">
        <f t="shared" si="19"/>
        <v>253676.75222222222</v>
      </c>
      <c r="BO29" s="120">
        <f t="shared" si="20"/>
        <v>5656080.2466666661</v>
      </c>
    </row>
    <row r="30" spans="2:67" ht="15.75" hidden="1" customHeight="1" x14ac:dyDescent="0.25">
      <c r="B30" s="83" t="s">
        <v>124</v>
      </c>
      <c r="C30" s="74" t="s">
        <v>195</v>
      </c>
      <c r="D30" s="163" t="s">
        <v>125</v>
      </c>
      <c r="E30" s="72" t="s">
        <v>79</v>
      </c>
      <c r="F30" s="74">
        <v>51</v>
      </c>
      <c r="G30" s="75">
        <v>43335</v>
      </c>
      <c r="H30" s="75">
        <v>45161</v>
      </c>
      <c r="I30" s="72" t="s">
        <v>101</v>
      </c>
      <c r="J30" s="72" t="s">
        <v>92</v>
      </c>
      <c r="K30" s="74" t="s">
        <v>87</v>
      </c>
      <c r="L30" s="84">
        <v>29.11</v>
      </c>
      <c r="M30" s="76">
        <v>5.41</v>
      </c>
      <c r="N30" s="77">
        <v>17697</v>
      </c>
      <c r="O30" s="78">
        <f t="shared" si="0"/>
        <v>95740.77</v>
      </c>
      <c r="P30" s="74">
        <v>18</v>
      </c>
      <c r="Q30" s="74"/>
      <c r="R30" s="74"/>
      <c r="S30" s="114"/>
      <c r="T30" s="114"/>
      <c r="U30" s="114"/>
      <c r="V30" s="78">
        <f t="shared" si="6"/>
        <v>95740.770000000019</v>
      </c>
      <c r="W30" s="78">
        <f t="shared" si="7"/>
        <v>0</v>
      </c>
      <c r="X30" s="78">
        <f t="shared" si="8"/>
        <v>0</v>
      </c>
      <c r="Y30" s="79"/>
      <c r="Z30" s="79"/>
      <c r="AA30" s="79"/>
      <c r="AB30" s="78">
        <f t="shared" si="9"/>
        <v>95740.770000000019</v>
      </c>
      <c r="AC30" s="78">
        <f t="shared" si="10"/>
        <v>47870.385000000009</v>
      </c>
      <c r="AD30" s="78">
        <f t="shared" si="11"/>
        <v>35902.788750000007</v>
      </c>
      <c r="AE30" s="78">
        <f t="shared" si="12"/>
        <v>17951.394375000003</v>
      </c>
      <c r="AF30" s="78">
        <f t="shared" si="13"/>
        <v>197465.33812500004</v>
      </c>
      <c r="AG30" s="120"/>
      <c r="AH30" s="130">
        <v>9</v>
      </c>
      <c r="AI30" s="125">
        <f t="shared" si="22"/>
        <v>3539.4</v>
      </c>
      <c r="AJ30" s="125"/>
      <c r="AK30" s="125"/>
      <c r="AL30" s="125">
        <f t="shared" si="14"/>
        <v>9</v>
      </c>
      <c r="AM30" s="125">
        <f t="shared" si="15"/>
        <v>3539.4</v>
      </c>
      <c r="AN30" s="125"/>
      <c r="AO30" s="125">
        <f t="shared" si="21"/>
        <v>0</v>
      </c>
      <c r="AP30" s="125"/>
      <c r="AQ30" s="125">
        <f t="shared" si="23"/>
        <v>0</v>
      </c>
      <c r="AR30" s="131">
        <f t="shared" si="16"/>
        <v>0</v>
      </c>
      <c r="AS30" s="125">
        <f t="shared" si="16"/>
        <v>0</v>
      </c>
      <c r="AT30" s="125">
        <f t="shared" si="17"/>
        <v>9</v>
      </c>
      <c r="AU30" s="125">
        <f t="shared" si="17"/>
        <v>3539.4</v>
      </c>
      <c r="AV30" s="126">
        <v>2</v>
      </c>
      <c r="AW30" s="126">
        <v>1</v>
      </c>
      <c r="AX30" s="130"/>
      <c r="AY30" s="127"/>
      <c r="AZ30" s="125">
        <f>N30*50%</f>
        <v>8848.5</v>
      </c>
      <c r="BA30" s="129"/>
      <c r="BB30" s="129"/>
      <c r="BC30" s="126">
        <v>20</v>
      </c>
      <c r="BD30" s="125">
        <f>(AB30+AC30+AD30+AB52+AC52+AD52+AB72+AC72+AD72)*30%</f>
        <v>59837.981249999997</v>
      </c>
      <c r="BE30" s="125"/>
      <c r="BF30" s="125">
        <v>20</v>
      </c>
      <c r="BG30" s="125">
        <f>(AB30+AC30+AD30+AB52+AC52+AD52+AB72+AC72+AD72)*40%</f>
        <v>79783.975000000006</v>
      </c>
      <c r="BH30" s="125"/>
      <c r="BI30" s="125"/>
      <c r="BJ30" s="125"/>
      <c r="BK30" s="120">
        <f>AG30+AU30+AZ30+BB30+BD30+BE30+BG30+BH30</f>
        <v>152009.85625000001</v>
      </c>
      <c r="BL30" s="120">
        <f t="shared" si="4"/>
        <v>349475.19437500008</v>
      </c>
      <c r="BM30" s="120">
        <f t="shared" si="5"/>
        <v>161562.549375</v>
      </c>
      <c r="BN30" s="120">
        <f t="shared" si="19"/>
        <v>187912.64500000008</v>
      </c>
      <c r="BO30" s="120">
        <f t="shared" si="20"/>
        <v>4193702.3325000009</v>
      </c>
    </row>
    <row r="31" spans="2:67" ht="15.75" hidden="1" customHeight="1" x14ac:dyDescent="0.25">
      <c r="B31" s="72" t="s">
        <v>126</v>
      </c>
      <c r="C31" s="74" t="s">
        <v>83</v>
      </c>
      <c r="D31" s="72" t="s">
        <v>127</v>
      </c>
      <c r="E31" s="72" t="s">
        <v>79</v>
      </c>
      <c r="F31" s="74">
        <v>55</v>
      </c>
      <c r="G31" s="72" t="s">
        <v>128</v>
      </c>
      <c r="H31" s="72" t="s">
        <v>97</v>
      </c>
      <c r="I31" s="72" t="s">
        <v>85</v>
      </c>
      <c r="J31" s="72" t="s">
        <v>86</v>
      </c>
      <c r="K31" s="74" t="s">
        <v>87</v>
      </c>
      <c r="L31" s="76">
        <v>32.03</v>
      </c>
      <c r="M31" s="76">
        <v>5.41</v>
      </c>
      <c r="N31" s="77">
        <v>17697</v>
      </c>
      <c r="O31" s="78">
        <f t="shared" si="0"/>
        <v>95740.77</v>
      </c>
      <c r="P31" s="74"/>
      <c r="Q31" s="74">
        <v>15</v>
      </c>
      <c r="R31" s="74"/>
      <c r="S31" s="114"/>
      <c r="T31" s="114"/>
      <c r="U31" s="114"/>
      <c r="V31" s="78">
        <f t="shared" si="6"/>
        <v>0</v>
      </c>
      <c r="W31" s="78">
        <f t="shared" si="7"/>
        <v>79783.975000000006</v>
      </c>
      <c r="X31" s="78">
        <f t="shared" si="8"/>
        <v>0</v>
      </c>
      <c r="Y31" s="79"/>
      <c r="Z31" s="79"/>
      <c r="AA31" s="79"/>
      <c r="AB31" s="78">
        <f t="shared" si="9"/>
        <v>79783.975000000006</v>
      </c>
      <c r="AC31" s="78">
        <f t="shared" si="10"/>
        <v>39891.987500000003</v>
      </c>
      <c r="AD31" s="78">
        <f t="shared" si="11"/>
        <v>29918.990625000002</v>
      </c>
      <c r="AE31" s="78">
        <f t="shared" si="12"/>
        <v>14959.495312500001</v>
      </c>
      <c r="AF31" s="78">
        <f t="shared" si="13"/>
        <v>164554.44843749999</v>
      </c>
      <c r="AG31" s="120"/>
      <c r="AH31" s="125"/>
      <c r="AI31" s="125">
        <f t="shared" si="22"/>
        <v>0</v>
      </c>
      <c r="AJ31" s="125"/>
      <c r="AK31" s="125">
        <f t="shared" si="2"/>
        <v>0</v>
      </c>
      <c r="AL31" s="125">
        <f t="shared" si="14"/>
        <v>0</v>
      </c>
      <c r="AM31" s="125">
        <f t="shared" si="15"/>
        <v>0</v>
      </c>
      <c r="AN31" s="131">
        <v>7.5</v>
      </c>
      <c r="AO31" s="125">
        <f>N31/18*AN31*50%</f>
        <v>3686.875</v>
      </c>
      <c r="AP31" s="125"/>
      <c r="AQ31" s="125">
        <f t="shared" si="23"/>
        <v>0</v>
      </c>
      <c r="AR31" s="131">
        <f t="shared" si="16"/>
        <v>7.5</v>
      </c>
      <c r="AS31" s="125">
        <f t="shared" si="16"/>
        <v>3686.875</v>
      </c>
      <c r="AT31" s="131">
        <f t="shared" si="17"/>
        <v>7.5</v>
      </c>
      <c r="AU31" s="125">
        <f t="shared" si="17"/>
        <v>3686.875</v>
      </c>
      <c r="AV31" s="126"/>
      <c r="AW31" s="126"/>
      <c r="AX31" s="130"/>
      <c r="AY31" s="126"/>
      <c r="AZ31" s="125"/>
      <c r="BA31" s="129"/>
      <c r="BB31" s="129"/>
      <c r="BC31" s="126">
        <v>17</v>
      </c>
      <c r="BD31" s="125">
        <f>(AB31+AC31+AD31+AB48+AC48+AD48+AB62+AC62+AD62)*30%</f>
        <v>50862.284062499988</v>
      </c>
      <c r="BE31" s="125"/>
      <c r="BF31" s="131" t="s">
        <v>233</v>
      </c>
      <c r="BG31" s="125">
        <f>(AB31+AC31+AD31+AB48+AC48+AD48+AB62+AC62+AD62)*40%</f>
        <v>67816.378749999989</v>
      </c>
      <c r="BH31" s="125"/>
      <c r="BI31" s="125"/>
      <c r="BJ31" s="125"/>
      <c r="BK31" s="120">
        <f>AG31+AU31+AZ31+BB31+BD31+BE31+BG31+BH31</f>
        <v>122365.53781249997</v>
      </c>
      <c r="BL31" s="120">
        <f t="shared" si="4"/>
        <v>286919.98624999996</v>
      </c>
      <c r="BM31" s="120">
        <f t="shared" si="5"/>
        <v>135632.75750000001</v>
      </c>
      <c r="BN31" s="120">
        <f t="shared" si="19"/>
        <v>151287.22874999995</v>
      </c>
      <c r="BO31" s="120">
        <f t="shared" si="20"/>
        <v>3443039.8349999995</v>
      </c>
    </row>
    <row r="32" spans="2:67" ht="15.75" hidden="1" customHeight="1" x14ac:dyDescent="0.25">
      <c r="B32" s="72" t="s">
        <v>129</v>
      </c>
      <c r="C32" s="74" t="s">
        <v>196</v>
      </c>
      <c r="D32" s="72" t="s">
        <v>131</v>
      </c>
      <c r="E32" s="72" t="s">
        <v>79</v>
      </c>
      <c r="F32" s="74">
        <v>19</v>
      </c>
      <c r="G32" s="72"/>
      <c r="H32" s="72"/>
      <c r="I32" s="72" t="s">
        <v>101</v>
      </c>
      <c r="J32" s="72" t="s">
        <v>106</v>
      </c>
      <c r="K32" s="74" t="s">
        <v>81</v>
      </c>
      <c r="L32" s="76">
        <v>14.09</v>
      </c>
      <c r="M32" s="76">
        <v>4.95</v>
      </c>
      <c r="N32" s="77">
        <v>17697</v>
      </c>
      <c r="O32" s="78">
        <f t="shared" si="0"/>
        <v>87600.150000000009</v>
      </c>
      <c r="P32" s="74">
        <v>17</v>
      </c>
      <c r="Q32" s="74"/>
      <c r="R32" s="74"/>
      <c r="S32" s="114"/>
      <c r="T32" s="114"/>
      <c r="U32" s="114"/>
      <c r="V32" s="78">
        <f t="shared" si="6"/>
        <v>82733.475000000006</v>
      </c>
      <c r="W32" s="78">
        <f t="shared" si="7"/>
        <v>0</v>
      </c>
      <c r="X32" s="78">
        <f t="shared" si="8"/>
        <v>0</v>
      </c>
      <c r="Y32" s="79"/>
      <c r="Z32" s="79"/>
      <c r="AA32" s="79"/>
      <c r="AB32" s="78">
        <f t="shared" si="9"/>
        <v>82733.475000000006</v>
      </c>
      <c r="AC32" s="78">
        <f t="shared" si="10"/>
        <v>41366.737500000003</v>
      </c>
      <c r="AD32" s="78">
        <f t="shared" si="11"/>
        <v>31025.053125000002</v>
      </c>
      <c r="AE32" s="78">
        <f t="shared" si="12"/>
        <v>15512.526562500001</v>
      </c>
      <c r="AF32" s="78">
        <f t="shared" si="13"/>
        <v>170637.79218749999</v>
      </c>
      <c r="AG32" s="120"/>
      <c r="AH32" s="131">
        <v>8.5</v>
      </c>
      <c r="AI32" s="125">
        <f t="shared" si="22"/>
        <v>3342.7666666666664</v>
      </c>
      <c r="AJ32" s="125"/>
      <c r="AK32" s="125"/>
      <c r="AL32" s="131">
        <f t="shared" si="14"/>
        <v>8.5</v>
      </c>
      <c r="AM32" s="125">
        <f t="shared" si="15"/>
        <v>3342.7666666666664</v>
      </c>
      <c r="AN32" s="125"/>
      <c r="AO32" s="125">
        <f t="shared" si="21"/>
        <v>0</v>
      </c>
      <c r="AP32" s="125"/>
      <c r="AQ32" s="125">
        <f t="shared" si="23"/>
        <v>0</v>
      </c>
      <c r="AR32" s="131">
        <f t="shared" si="16"/>
        <v>0</v>
      </c>
      <c r="AS32" s="125">
        <f t="shared" si="16"/>
        <v>0</v>
      </c>
      <c r="AT32" s="125">
        <f t="shared" si="17"/>
        <v>8.5</v>
      </c>
      <c r="AU32" s="125">
        <f t="shared" si="17"/>
        <v>3342.7666666666664</v>
      </c>
      <c r="AV32" s="126">
        <v>1</v>
      </c>
      <c r="AW32" s="126">
        <v>1</v>
      </c>
      <c r="AX32" s="130"/>
      <c r="AY32" s="126"/>
      <c r="AZ32" s="125">
        <f>N31*50%</f>
        <v>8848.5</v>
      </c>
      <c r="BA32" s="129"/>
      <c r="BB32" s="129"/>
      <c r="BC32" s="126">
        <v>19</v>
      </c>
      <c r="BD32" s="125">
        <f>(AB32+AC32+AD32+AB73+AC73+AD73+AB75+AC75+AD75)*30%</f>
        <v>52012.589062499981</v>
      </c>
      <c r="BE32" s="125"/>
      <c r="BF32" s="132">
        <v>19</v>
      </c>
      <c r="BG32" s="125">
        <f>(AB32+AC32+AD32+AB73+AC73+AD73+AB75+AC75+AD75)*35%</f>
        <v>60681.353906249977</v>
      </c>
      <c r="BH32" s="125">
        <f>7079/18*19</f>
        <v>7472.2777777777774</v>
      </c>
      <c r="BI32" s="125"/>
      <c r="BJ32" s="125"/>
      <c r="BK32" s="120">
        <f>AG32+AU32+AZ32+BB32+BD32+BE32+BG32+BH32</f>
        <v>132357.48741319441</v>
      </c>
      <c r="BL32" s="120">
        <f t="shared" si="4"/>
        <v>302995.27960069443</v>
      </c>
      <c r="BM32" s="120">
        <f t="shared" si="5"/>
        <v>139916.90625</v>
      </c>
      <c r="BN32" s="120">
        <f t="shared" si="19"/>
        <v>163078.37335069443</v>
      </c>
      <c r="BO32" s="120">
        <f t="shared" si="20"/>
        <v>3635943.3552083331</v>
      </c>
    </row>
    <row r="33" spans="2:67" ht="15.75" hidden="1" customHeight="1" x14ac:dyDescent="0.25">
      <c r="B33" s="72" t="s">
        <v>134</v>
      </c>
      <c r="C33" s="74" t="s">
        <v>135</v>
      </c>
      <c r="D33" s="72" t="s">
        <v>194</v>
      </c>
      <c r="E33" s="72" t="s">
        <v>79</v>
      </c>
      <c r="F33" s="74">
        <v>30</v>
      </c>
      <c r="G33" s="72" t="s">
        <v>136</v>
      </c>
      <c r="H33" s="72" t="s">
        <v>137</v>
      </c>
      <c r="I33" s="72" t="s">
        <v>138</v>
      </c>
      <c r="J33" s="72" t="s">
        <v>106</v>
      </c>
      <c r="K33" s="74" t="s">
        <v>81</v>
      </c>
      <c r="L33" s="76">
        <v>32.049999999999997</v>
      </c>
      <c r="M33" s="76">
        <v>5.2</v>
      </c>
      <c r="N33" s="77">
        <v>17697</v>
      </c>
      <c r="O33" s="78">
        <f t="shared" si="0"/>
        <v>92024.400000000009</v>
      </c>
      <c r="P33" s="74"/>
      <c r="Q33" s="74">
        <v>12</v>
      </c>
      <c r="R33" s="74">
        <v>6</v>
      </c>
      <c r="S33" s="114"/>
      <c r="T33" s="114"/>
      <c r="U33" s="114"/>
      <c r="V33" s="78">
        <f t="shared" si="6"/>
        <v>0</v>
      </c>
      <c r="W33" s="78">
        <f t="shared" si="7"/>
        <v>61349.600000000006</v>
      </c>
      <c r="X33" s="78">
        <f t="shared" si="8"/>
        <v>30674.800000000003</v>
      </c>
      <c r="Y33" s="79"/>
      <c r="Z33" s="79"/>
      <c r="AA33" s="79"/>
      <c r="AB33" s="78">
        <f t="shared" si="9"/>
        <v>92024.400000000009</v>
      </c>
      <c r="AC33" s="78">
        <f t="shared" si="10"/>
        <v>46012.200000000004</v>
      </c>
      <c r="AD33" s="78">
        <f t="shared" si="11"/>
        <v>34509.15</v>
      </c>
      <c r="AE33" s="78">
        <f t="shared" si="12"/>
        <v>17254.575000000001</v>
      </c>
      <c r="AF33" s="78">
        <f t="shared" si="13"/>
        <v>189800.32500000001</v>
      </c>
      <c r="AG33" s="120"/>
      <c r="AH33" s="125"/>
      <c r="AI33" s="125">
        <f t="shared" si="22"/>
        <v>0</v>
      </c>
      <c r="AJ33" s="125"/>
      <c r="AK33" s="125">
        <f t="shared" ref="AK33:AK44" si="26">P33/18*2*40%</f>
        <v>0</v>
      </c>
      <c r="AL33" s="125">
        <f t="shared" si="14"/>
        <v>0</v>
      </c>
      <c r="AM33" s="125">
        <f t="shared" si="15"/>
        <v>0</v>
      </c>
      <c r="AN33" s="125"/>
      <c r="AO33" s="125">
        <f t="shared" si="21"/>
        <v>0</v>
      </c>
      <c r="AP33" s="125"/>
      <c r="AQ33" s="125">
        <f t="shared" si="23"/>
        <v>0</v>
      </c>
      <c r="AR33" s="131">
        <f t="shared" si="16"/>
        <v>0</v>
      </c>
      <c r="AS33" s="125">
        <f t="shared" si="16"/>
        <v>0</v>
      </c>
      <c r="AT33" s="125">
        <f t="shared" si="17"/>
        <v>0</v>
      </c>
      <c r="AU33" s="125">
        <f t="shared" si="17"/>
        <v>0</v>
      </c>
      <c r="AV33" s="126">
        <v>7</v>
      </c>
      <c r="AW33" s="126"/>
      <c r="AX33" s="130">
        <v>1</v>
      </c>
      <c r="AY33" s="126"/>
      <c r="AZ33" s="125">
        <f>N32*60%</f>
        <v>10618.199999999999</v>
      </c>
      <c r="BA33" s="129"/>
      <c r="BB33" s="129"/>
      <c r="BC33" s="126">
        <v>21</v>
      </c>
      <c r="BD33" s="125">
        <f>(AB33+AC33+AD33+AB74+AC74+AD74)*30%</f>
        <v>60391.012499999997</v>
      </c>
      <c r="BE33" s="125"/>
      <c r="BF33" s="125">
        <v>21</v>
      </c>
      <c r="BG33" s="125">
        <f>(AB33+AC33+AD33+AB74+AC74+AD74)*35%</f>
        <v>70456.181249999994</v>
      </c>
      <c r="BH33" s="125"/>
      <c r="BI33" s="125"/>
      <c r="BJ33" s="125">
        <v>17697</v>
      </c>
      <c r="BK33" s="120">
        <f>AG33+AU33+AZ33+BB33+BD33+BE33+BG33+BH33+BJ33</f>
        <v>159162.39374999999</v>
      </c>
      <c r="BL33" s="120">
        <f t="shared" si="4"/>
        <v>348962.71875</v>
      </c>
      <c r="BM33" s="120">
        <f t="shared" si="5"/>
        <v>158166.9375</v>
      </c>
      <c r="BN33" s="120">
        <f t="shared" si="19"/>
        <v>190795.78125</v>
      </c>
      <c r="BO33" s="120">
        <f t="shared" si="20"/>
        <v>4187552.625</v>
      </c>
    </row>
    <row r="34" spans="2:67" ht="15.75" hidden="1" customHeight="1" x14ac:dyDescent="0.25">
      <c r="B34" s="72" t="s">
        <v>220</v>
      </c>
      <c r="C34" s="74" t="s">
        <v>222</v>
      </c>
      <c r="D34" s="72" t="s">
        <v>223</v>
      </c>
      <c r="E34" s="72" t="s">
        <v>79</v>
      </c>
      <c r="F34" s="74"/>
      <c r="G34" s="72"/>
      <c r="H34" s="72"/>
      <c r="I34" s="72"/>
      <c r="J34" s="72" t="s">
        <v>156</v>
      </c>
      <c r="K34" s="74" t="s">
        <v>157</v>
      </c>
      <c r="L34" s="76">
        <v>40.049999999999997</v>
      </c>
      <c r="M34" s="76">
        <v>4.7300000000000004</v>
      </c>
      <c r="N34" s="77">
        <v>17697</v>
      </c>
      <c r="O34" s="78">
        <f t="shared" si="0"/>
        <v>83706.810000000012</v>
      </c>
      <c r="P34" s="74"/>
      <c r="Q34" s="74">
        <v>1.5</v>
      </c>
      <c r="R34" s="74"/>
      <c r="S34" s="114"/>
      <c r="T34" s="114"/>
      <c r="U34" s="114"/>
      <c r="V34" s="78"/>
      <c r="W34" s="78">
        <f t="shared" si="7"/>
        <v>6975.567500000001</v>
      </c>
      <c r="X34" s="78"/>
      <c r="Y34" s="79"/>
      <c r="Z34" s="79"/>
      <c r="AA34" s="79"/>
      <c r="AB34" s="78">
        <f t="shared" si="9"/>
        <v>6975.567500000001</v>
      </c>
      <c r="AC34" s="78">
        <f t="shared" si="10"/>
        <v>3487.7837500000005</v>
      </c>
      <c r="AD34" s="78">
        <f t="shared" si="11"/>
        <v>2615.8378125000004</v>
      </c>
      <c r="AE34" s="78">
        <f t="shared" si="12"/>
        <v>1307.9189062500002</v>
      </c>
      <c r="AF34" s="78">
        <f t="shared" si="13"/>
        <v>14387.107968750002</v>
      </c>
      <c r="AG34" s="120"/>
      <c r="AH34" s="125"/>
      <c r="AI34" s="125"/>
      <c r="AJ34" s="125"/>
      <c r="AK34" s="125"/>
      <c r="AL34" s="125"/>
      <c r="AM34" s="125"/>
      <c r="AN34" s="131">
        <v>0.75</v>
      </c>
      <c r="AO34" s="125">
        <f>N34/18*AN34*50%</f>
        <v>368.6875</v>
      </c>
      <c r="AP34" s="125"/>
      <c r="AQ34" s="125"/>
      <c r="AR34" s="131" t="s">
        <v>227</v>
      </c>
      <c r="AS34" s="125">
        <f t="shared" si="16"/>
        <v>368.6875</v>
      </c>
      <c r="AT34" s="125" t="str">
        <f>AR34</f>
        <v>0,75</v>
      </c>
      <c r="AU34" s="125">
        <f>AS34</f>
        <v>368.6875</v>
      </c>
      <c r="AV34" s="126"/>
      <c r="AW34" s="126"/>
      <c r="AX34" s="130"/>
      <c r="AY34" s="126"/>
      <c r="AZ34" s="125"/>
      <c r="BA34" s="129"/>
      <c r="BB34" s="129"/>
      <c r="BC34" s="126">
        <v>1.5</v>
      </c>
      <c r="BD34" s="125">
        <f t="shared" si="25"/>
        <v>3923.7567187500003</v>
      </c>
      <c r="BE34" s="125"/>
      <c r="BF34" s="125"/>
      <c r="BG34" s="125"/>
      <c r="BH34" s="125"/>
      <c r="BI34" s="125"/>
      <c r="BJ34" s="125"/>
      <c r="BK34" s="120">
        <f t="shared" ref="BK34:BK44" si="27">AG34+AU34+AZ34+BB34+BD34+BE34+BG34+BH34</f>
        <v>4292.4442187500008</v>
      </c>
      <c r="BL34" s="120">
        <f t="shared" si="4"/>
        <v>18679.552187500005</v>
      </c>
      <c r="BM34" s="120">
        <f t="shared" si="5"/>
        <v>11335.2971875</v>
      </c>
      <c r="BN34" s="120">
        <f t="shared" si="19"/>
        <v>7344.2550000000047</v>
      </c>
      <c r="BO34" s="120">
        <f t="shared" si="20"/>
        <v>224154.62625000006</v>
      </c>
    </row>
    <row r="35" spans="2:67" ht="15.75" hidden="1" customHeight="1" x14ac:dyDescent="0.25">
      <c r="B35" s="83" t="s">
        <v>139</v>
      </c>
      <c r="C35" s="74" t="s">
        <v>221</v>
      </c>
      <c r="D35" s="72" t="s">
        <v>141</v>
      </c>
      <c r="E35" s="72" t="s">
        <v>79</v>
      </c>
      <c r="F35" s="74">
        <v>29</v>
      </c>
      <c r="G35" s="72" t="s">
        <v>136</v>
      </c>
      <c r="H35" s="72" t="s">
        <v>137</v>
      </c>
      <c r="I35" s="72" t="s">
        <v>101</v>
      </c>
      <c r="J35" s="72" t="s">
        <v>156</v>
      </c>
      <c r="K35" s="74" t="s">
        <v>157</v>
      </c>
      <c r="L35" s="76">
        <v>38.03</v>
      </c>
      <c r="M35" s="76">
        <v>4.7300000000000004</v>
      </c>
      <c r="N35" s="77">
        <v>17697</v>
      </c>
      <c r="O35" s="78">
        <f t="shared" si="0"/>
        <v>83706.810000000012</v>
      </c>
      <c r="P35" s="74"/>
      <c r="Q35" s="74">
        <v>1.5</v>
      </c>
      <c r="R35" s="74"/>
      <c r="S35" s="114"/>
      <c r="T35" s="114"/>
      <c r="U35" s="114"/>
      <c r="V35" s="78"/>
      <c r="W35" s="78">
        <f t="shared" si="7"/>
        <v>6975.567500000001</v>
      </c>
      <c r="X35" s="78"/>
      <c r="Y35" s="79"/>
      <c r="Z35" s="79"/>
      <c r="AA35" s="79"/>
      <c r="AB35" s="78">
        <f t="shared" si="9"/>
        <v>6975.567500000001</v>
      </c>
      <c r="AC35" s="78">
        <f t="shared" si="10"/>
        <v>3487.7837500000005</v>
      </c>
      <c r="AD35" s="78">
        <f t="shared" si="11"/>
        <v>2615.8378125000004</v>
      </c>
      <c r="AE35" s="78">
        <f t="shared" si="12"/>
        <v>1307.9189062500002</v>
      </c>
      <c r="AF35" s="78">
        <f t="shared" si="13"/>
        <v>14387.107968750002</v>
      </c>
      <c r="AG35" s="120"/>
      <c r="AH35" s="125"/>
      <c r="AI35" s="125"/>
      <c r="AJ35" s="125"/>
      <c r="AK35" s="125"/>
      <c r="AL35" s="125"/>
      <c r="AM35" s="125"/>
      <c r="AN35" s="131">
        <v>0.75</v>
      </c>
      <c r="AO35" s="125">
        <f>N35/18*AN35*50%</f>
        <v>368.6875</v>
      </c>
      <c r="AP35" s="125"/>
      <c r="AQ35" s="125"/>
      <c r="AR35" s="131" t="s">
        <v>227</v>
      </c>
      <c r="AS35" s="125">
        <f t="shared" si="16"/>
        <v>368.6875</v>
      </c>
      <c r="AT35" s="125" t="str">
        <f>AR35</f>
        <v>0,75</v>
      </c>
      <c r="AU35" s="125">
        <f>AS35</f>
        <v>368.6875</v>
      </c>
      <c r="AV35" s="126"/>
      <c r="AW35" s="126"/>
      <c r="AX35" s="130"/>
      <c r="AY35" s="126"/>
      <c r="AZ35" s="125"/>
      <c r="BA35" s="129"/>
      <c r="BB35" s="129"/>
      <c r="BC35" s="126">
        <v>1.5</v>
      </c>
      <c r="BD35" s="125">
        <f t="shared" si="25"/>
        <v>3923.7567187500003</v>
      </c>
      <c r="BE35" s="125"/>
      <c r="BF35" s="125"/>
      <c r="BG35" s="125"/>
      <c r="BH35" s="125"/>
      <c r="BI35" s="125"/>
      <c r="BJ35" s="125"/>
      <c r="BK35" s="120">
        <f t="shared" si="27"/>
        <v>4292.4442187500008</v>
      </c>
      <c r="BL35" s="120">
        <f t="shared" si="4"/>
        <v>18679.552187500005</v>
      </c>
      <c r="BM35" s="120">
        <f t="shared" si="5"/>
        <v>11335.2971875</v>
      </c>
      <c r="BN35" s="120">
        <f t="shared" si="19"/>
        <v>7344.2550000000047</v>
      </c>
      <c r="BO35" s="120">
        <f t="shared" si="20"/>
        <v>224154.62625000006</v>
      </c>
    </row>
    <row r="36" spans="2:67" ht="15.75" hidden="1" customHeight="1" x14ac:dyDescent="0.25">
      <c r="B36" s="83" t="s">
        <v>139</v>
      </c>
      <c r="C36" s="74" t="s">
        <v>140</v>
      </c>
      <c r="D36" s="72" t="s">
        <v>141</v>
      </c>
      <c r="E36" s="72" t="s">
        <v>79</v>
      </c>
      <c r="F36" s="74">
        <v>29</v>
      </c>
      <c r="G36" s="72" t="s">
        <v>136</v>
      </c>
      <c r="H36" s="72" t="s">
        <v>137</v>
      </c>
      <c r="I36" s="72" t="s">
        <v>101</v>
      </c>
      <c r="J36" s="72" t="s">
        <v>79</v>
      </c>
      <c r="K36" s="74" t="s">
        <v>87</v>
      </c>
      <c r="L36" s="76">
        <v>38.03</v>
      </c>
      <c r="M36" s="76">
        <v>5.41</v>
      </c>
      <c r="N36" s="77">
        <v>17697</v>
      </c>
      <c r="O36" s="78">
        <f t="shared" si="0"/>
        <v>95740.77</v>
      </c>
      <c r="P36" s="79">
        <v>12</v>
      </c>
      <c r="Q36" s="74"/>
      <c r="R36" s="74"/>
      <c r="S36" s="114"/>
      <c r="T36" s="81"/>
      <c r="U36" s="114"/>
      <c r="V36" s="78">
        <f t="shared" si="6"/>
        <v>63827.180000000008</v>
      </c>
      <c r="W36" s="78">
        <f t="shared" si="7"/>
        <v>0</v>
      </c>
      <c r="X36" s="78">
        <f t="shared" si="8"/>
        <v>0</v>
      </c>
      <c r="Y36" s="79"/>
      <c r="Z36" s="79"/>
      <c r="AA36" s="79"/>
      <c r="AB36" s="78">
        <f t="shared" si="9"/>
        <v>63827.180000000008</v>
      </c>
      <c r="AC36" s="78">
        <f t="shared" si="10"/>
        <v>31913.590000000004</v>
      </c>
      <c r="AD36" s="78">
        <f t="shared" si="11"/>
        <v>23935.192500000005</v>
      </c>
      <c r="AE36" s="78">
        <f t="shared" si="12"/>
        <v>11967.596250000002</v>
      </c>
      <c r="AF36" s="78">
        <f t="shared" si="13"/>
        <v>131643.55875000003</v>
      </c>
      <c r="AG36" s="120"/>
      <c r="AH36" s="130">
        <v>6</v>
      </c>
      <c r="AI36" s="125">
        <f t="shared" si="22"/>
        <v>2359.6</v>
      </c>
      <c r="AJ36" s="125"/>
      <c r="AK36" s="125"/>
      <c r="AL36" s="125">
        <f t="shared" si="14"/>
        <v>6</v>
      </c>
      <c r="AM36" s="125">
        <f t="shared" si="15"/>
        <v>2359.6</v>
      </c>
      <c r="AN36" s="125"/>
      <c r="AO36" s="125">
        <f t="shared" si="21"/>
        <v>0</v>
      </c>
      <c r="AP36" s="125"/>
      <c r="AQ36" s="125">
        <f t="shared" si="23"/>
        <v>0</v>
      </c>
      <c r="AR36" s="131">
        <f t="shared" si="16"/>
        <v>0</v>
      </c>
      <c r="AS36" s="125">
        <f t="shared" si="16"/>
        <v>0</v>
      </c>
      <c r="AT36" s="125">
        <f t="shared" si="17"/>
        <v>6</v>
      </c>
      <c r="AU36" s="125">
        <f t="shared" si="17"/>
        <v>2359.6</v>
      </c>
      <c r="AV36" s="126"/>
      <c r="AW36" s="126"/>
      <c r="AX36" s="130"/>
      <c r="AY36" s="126"/>
      <c r="AZ36" s="125"/>
      <c r="BA36" s="129"/>
      <c r="BB36" s="129"/>
      <c r="BC36" s="126">
        <v>14</v>
      </c>
      <c r="BD36" s="125">
        <f>(AB36+AC36+AD36+AB51+AC51+AD51)*30%</f>
        <v>41886.586875000015</v>
      </c>
      <c r="BE36" s="125"/>
      <c r="BF36" s="125"/>
      <c r="BG36" s="125"/>
      <c r="BH36" s="125">
        <f>7079/18*2</f>
        <v>786.55555555555554</v>
      </c>
      <c r="BI36" s="125"/>
      <c r="BJ36" s="125"/>
      <c r="BK36" s="120">
        <f t="shared" si="27"/>
        <v>45032.742430555569</v>
      </c>
      <c r="BL36" s="120">
        <f t="shared" si="4"/>
        <v>176676.3011805556</v>
      </c>
      <c r="BM36" s="120">
        <f t="shared" si="5"/>
        <v>109702.96562500001</v>
      </c>
      <c r="BN36" s="120">
        <f t="shared" si="19"/>
        <v>66973.33555555559</v>
      </c>
      <c r="BO36" s="120">
        <f t="shared" si="20"/>
        <v>2120115.6141666672</v>
      </c>
    </row>
    <row r="37" spans="2:67" ht="15.75" hidden="1" customHeight="1" x14ac:dyDescent="0.25">
      <c r="B37" s="138" t="s">
        <v>230</v>
      </c>
      <c r="C37" s="74" t="s">
        <v>142</v>
      </c>
      <c r="D37" s="72" t="s">
        <v>219</v>
      </c>
      <c r="E37" s="72" t="s">
        <v>79</v>
      </c>
      <c r="F37" s="74">
        <v>54</v>
      </c>
      <c r="G37" s="75">
        <v>43453</v>
      </c>
      <c r="H37" s="75">
        <v>45279</v>
      </c>
      <c r="I37" s="72" t="s">
        <v>143</v>
      </c>
      <c r="J37" s="72" t="s">
        <v>156</v>
      </c>
      <c r="K37" s="74" t="s">
        <v>81</v>
      </c>
      <c r="L37" s="109">
        <v>8.0500000000000007</v>
      </c>
      <c r="M37" s="76">
        <v>4.79</v>
      </c>
      <c r="N37" s="77">
        <v>17697</v>
      </c>
      <c r="O37" s="78">
        <f t="shared" si="0"/>
        <v>84768.63</v>
      </c>
      <c r="P37" s="79"/>
      <c r="Q37" s="74"/>
      <c r="R37" s="74"/>
      <c r="S37" s="114"/>
      <c r="T37" s="81"/>
      <c r="U37" s="114"/>
      <c r="V37" s="78"/>
      <c r="W37" s="78"/>
      <c r="X37" s="78">
        <f t="shared" si="8"/>
        <v>0</v>
      </c>
      <c r="Y37" s="79"/>
      <c r="Z37" s="79"/>
      <c r="AA37" s="79"/>
      <c r="AB37" s="78">
        <f t="shared" si="9"/>
        <v>0</v>
      </c>
      <c r="AC37" s="78">
        <f t="shared" si="10"/>
        <v>0</v>
      </c>
      <c r="AD37" s="78">
        <f t="shared" si="11"/>
        <v>0</v>
      </c>
      <c r="AE37" s="78">
        <f t="shared" si="12"/>
        <v>0</v>
      </c>
      <c r="AF37" s="78">
        <f t="shared" si="13"/>
        <v>0</v>
      </c>
      <c r="AG37" s="120"/>
      <c r="AH37" s="130"/>
      <c r="AI37" s="125"/>
      <c r="AJ37" s="125"/>
      <c r="AK37" s="125"/>
      <c r="AL37" s="125"/>
      <c r="AM37" s="125"/>
      <c r="AN37" s="125"/>
      <c r="AO37" s="125">
        <f>N37/18*AN37*50%</f>
        <v>0</v>
      </c>
      <c r="AP37" s="125"/>
      <c r="AQ37" s="125"/>
      <c r="AR37" s="131"/>
      <c r="AS37" s="125">
        <f t="shared" si="16"/>
        <v>0</v>
      </c>
      <c r="AT37" s="125">
        <f>AR37</f>
        <v>0</v>
      </c>
      <c r="AU37" s="125">
        <f t="shared" si="17"/>
        <v>0</v>
      </c>
      <c r="AV37" s="126">
        <v>0</v>
      </c>
      <c r="AW37" s="133"/>
      <c r="AX37" s="130"/>
      <c r="AY37" s="126"/>
      <c r="AZ37" s="125"/>
      <c r="BA37" s="129"/>
      <c r="BB37" s="129"/>
      <c r="BC37" s="126"/>
      <c r="BD37" s="125">
        <f t="shared" si="25"/>
        <v>0</v>
      </c>
      <c r="BE37" s="125"/>
      <c r="BF37" s="125"/>
      <c r="BG37" s="125"/>
      <c r="BH37" s="125"/>
      <c r="BI37" s="125"/>
      <c r="BJ37" s="125"/>
      <c r="BK37" s="120">
        <f t="shared" si="27"/>
        <v>0</v>
      </c>
      <c r="BL37" s="120">
        <f t="shared" si="4"/>
        <v>0</v>
      </c>
      <c r="BM37" s="120">
        <f t="shared" si="5"/>
        <v>0</v>
      </c>
      <c r="BN37" s="120">
        <f t="shared" si="19"/>
        <v>0</v>
      </c>
      <c r="BO37" s="120">
        <f t="shared" si="20"/>
        <v>0</v>
      </c>
    </row>
    <row r="38" spans="2:67" ht="15.75" hidden="1" customHeight="1" x14ac:dyDescent="0.25">
      <c r="B38" s="138" t="s">
        <v>230</v>
      </c>
      <c r="C38" s="74" t="s">
        <v>142</v>
      </c>
      <c r="D38" s="72" t="s">
        <v>219</v>
      </c>
      <c r="E38" s="72" t="s">
        <v>79</v>
      </c>
      <c r="F38" s="74">
        <v>54</v>
      </c>
      <c r="G38" s="75">
        <v>43453</v>
      </c>
      <c r="H38" s="75">
        <v>45279</v>
      </c>
      <c r="I38" s="72" t="s">
        <v>143</v>
      </c>
      <c r="J38" s="72" t="s">
        <v>156</v>
      </c>
      <c r="K38" s="74" t="s">
        <v>81</v>
      </c>
      <c r="L38" s="109">
        <v>8.0500000000000007</v>
      </c>
      <c r="M38" s="76">
        <v>4.79</v>
      </c>
      <c r="N38" s="77">
        <v>17697</v>
      </c>
      <c r="O38" s="78">
        <f t="shared" si="0"/>
        <v>84768.63</v>
      </c>
      <c r="P38" s="74"/>
      <c r="Q38" s="122"/>
      <c r="R38" s="122"/>
      <c r="S38" s="114"/>
      <c r="T38" s="114"/>
      <c r="U38" s="114"/>
      <c r="V38" s="78">
        <f t="shared" si="6"/>
        <v>0</v>
      </c>
      <c r="W38" s="78">
        <f t="shared" si="7"/>
        <v>0</v>
      </c>
      <c r="X38" s="78">
        <f t="shared" si="8"/>
        <v>0</v>
      </c>
      <c r="Y38" s="79"/>
      <c r="Z38" s="79"/>
      <c r="AA38" s="79"/>
      <c r="AB38" s="78">
        <f t="shared" si="9"/>
        <v>0</v>
      </c>
      <c r="AC38" s="78">
        <f t="shared" si="10"/>
        <v>0</v>
      </c>
      <c r="AD38" s="78">
        <f t="shared" si="11"/>
        <v>0</v>
      </c>
      <c r="AE38" s="78">
        <f t="shared" si="12"/>
        <v>0</v>
      </c>
      <c r="AF38" s="78">
        <f t="shared" si="13"/>
        <v>0</v>
      </c>
      <c r="AG38" s="120"/>
      <c r="AH38" s="125"/>
      <c r="AI38" s="125">
        <f t="shared" si="22"/>
        <v>0</v>
      </c>
      <c r="AJ38" s="125"/>
      <c r="AK38" s="125">
        <f t="shared" si="26"/>
        <v>0</v>
      </c>
      <c r="AL38" s="125">
        <f t="shared" si="14"/>
        <v>0</v>
      </c>
      <c r="AM38" s="125">
        <f t="shared" si="15"/>
        <v>0</v>
      </c>
      <c r="AN38" s="130"/>
      <c r="AO38" s="125">
        <f>N38/18*AN38*50%</f>
        <v>0</v>
      </c>
      <c r="AP38" s="125"/>
      <c r="AQ38" s="125">
        <f t="shared" si="23"/>
        <v>0</v>
      </c>
      <c r="AR38" s="131">
        <f t="shared" si="16"/>
        <v>0</v>
      </c>
      <c r="AS38" s="125">
        <f t="shared" si="16"/>
        <v>0</v>
      </c>
      <c r="AT38" s="131">
        <f t="shared" si="17"/>
        <v>0</v>
      </c>
      <c r="AU38" s="125">
        <f t="shared" si="17"/>
        <v>0</v>
      </c>
      <c r="AV38" s="126"/>
      <c r="AW38" s="133"/>
      <c r="AX38" s="130"/>
      <c r="AY38" s="126"/>
      <c r="AZ38" s="125"/>
      <c r="BA38" s="129"/>
      <c r="BB38" s="129"/>
      <c r="BC38" s="126"/>
      <c r="BD38" s="125">
        <f t="shared" si="25"/>
        <v>0</v>
      </c>
      <c r="BE38" s="125"/>
      <c r="BF38" s="125"/>
      <c r="BG38" s="125"/>
      <c r="BH38" s="125"/>
      <c r="BI38" s="125"/>
      <c r="BJ38" s="125"/>
      <c r="BK38" s="120">
        <f t="shared" si="27"/>
        <v>0</v>
      </c>
      <c r="BL38" s="120">
        <f t="shared" si="4"/>
        <v>0</v>
      </c>
      <c r="BM38" s="120">
        <f t="shared" si="5"/>
        <v>0</v>
      </c>
      <c r="BN38" s="120">
        <f t="shared" si="19"/>
        <v>0</v>
      </c>
      <c r="BO38" s="120">
        <f t="shared" si="20"/>
        <v>0</v>
      </c>
    </row>
    <row r="39" spans="2:67" ht="15.75" hidden="1" customHeight="1" x14ac:dyDescent="0.25">
      <c r="B39" s="72" t="s">
        <v>197</v>
      </c>
      <c r="C39" s="74" t="s">
        <v>198</v>
      </c>
      <c r="D39" s="72" t="s">
        <v>199</v>
      </c>
      <c r="E39" s="72" t="s">
        <v>79</v>
      </c>
      <c r="F39" s="74">
        <v>14</v>
      </c>
      <c r="G39" s="75">
        <v>42823</v>
      </c>
      <c r="H39" s="75">
        <v>44740</v>
      </c>
      <c r="I39" s="72" t="s">
        <v>101</v>
      </c>
      <c r="J39" s="72" t="s">
        <v>156</v>
      </c>
      <c r="K39" s="74" t="s">
        <v>157</v>
      </c>
      <c r="L39" s="76">
        <v>9.01</v>
      </c>
      <c r="M39" s="76">
        <v>4.33</v>
      </c>
      <c r="N39" s="77">
        <v>17697</v>
      </c>
      <c r="O39" s="78">
        <f t="shared" si="0"/>
        <v>76628.009999999995</v>
      </c>
      <c r="P39" s="74">
        <v>17</v>
      </c>
      <c r="Q39" s="74"/>
      <c r="R39" s="74"/>
      <c r="S39" s="114"/>
      <c r="T39" s="114"/>
      <c r="U39" s="114"/>
      <c r="V39" s="78">
        <f t="shared" si="6"/>
        <v>72370.898333333331</v>
      </c>
      <c r="W39" s="78">
        <f t="shared" si="7"/>
        <v>0</v>
      </c>
      <c r="X39" s="78">
        <f t="shared" si="8"/>
        <v>0</v>
      </c>
      <c r="Y39" s="78"/>
      <c r="Z39" s="78"/>
      <c r="AA39" s="78"/>
      <c r="AB39" s="78">
        <f t="shared" si="9"/>
        <v>72370.898333333331</v>
      </c>
      <c r="AC39" s="78">
        <f t="shared" si="10"/>
        <v>36185.449166666665</v>
      </c>
      <c r="AD39" s="78">
        <f t="shared" si="11"/>
        <v>27139.086875000001</v>
      </c>
      <c r="AE39" s="78">
        <f t="shared" si="12"/>
        <v>13569.543437500002</v>
      </c>
      <c r="AF39" s="78">
        <f t="shared" si="13"/>
        <v>149264.9778125</v>
      </c>
      <c r="AG39" s="125"/>
      <c r="AH39" s="131">
        <v>8.5</v>
      </c>
      <c r="AI39" s="125">
        <f t="shared" si="22"/>
        <v>3342.7666666666664</v>
      </c>
      <c r="AJ39" s="125"/>
      <c r="AK39" s="125"/>
      <c r="AL39" s="131">
        <f t="shared" si="14"/>
        <v>8.5</v>
      </c>
      <c r="AM39" s="125">
        <f t="shared" si="15"/>
        <v>3342.7666666666664</v>
      </c>
      <c r="AN39" s="125"/>
      <c r="AO39" s="125">
        <f t="shared" si="21"/>
        <v>0</v>
      </c>
      <c r="AP39" s="125"/>
      <c r="AQ39" s="125">
        <f t="shared" si="23"/>
        <v>0</v>
      </c>
      <c r="AR39" s="131">
        <f t="shared" si="16"/>
        <v>0</v>
      </c>
      <c r="AS39" s="125">
        <f t="shared" si="16"/>
        <v>0</v>
      </c>
      <c r="AT39" s="131">
        <f t="shared" si="17"/>
        <v>8.5</v>
      </c>
      <c r="AU39" s="125">
        <f t="shared" si="17"/>
        <v>3342.7666666666664</v>
      </c>
      <c r="AV39" s="126">
        <v>4</v>
      </c>
      <c r="AW39" s="126">
        <v>1</v>
      </c>
      <c r="AX39" s="130"/>
      <c r="AY39" s="126"/>
      <c r="AZ39" s="125">
        <f>N38*50%</f>
        <v>8848.5</v>
      </c>
      <c r="BA39" s="126"/>
      <c r="BB39" s="129"/>
      <c r="BC39" s="126">
        <v>19</v>
      </c>
      <c r="BD39" s="125">
        <f>(AB39+AC39+AD39+AB68+AC68+AD68+AB69+AC69+AD69)*30%</f>
        <v>45497.880937500006</v>
      </c>
      <c r="BE39" s="126"/>
      <c r="BF39" s="126"/>
      <c r="BG39" s="125"/>
      <c r="BH39" s="125"/>
      <c r="BI39" s="126"/>
      <c r="BJ39" s="126"/>
      <c r="BK39" s="120">
        <f t="shared" si="27"/>
        <v>57689.147604166676</v>
      </c>
      <c r="BL39" s="120">
        <f t="shared" si="4"/>
        <v>206954.12541666668</v>
      </c>
      <c r="BM39" s="120">
        <f t="shared" si="5"/>
        <v>122391.96041666667</v>
      </c>
      <c r="BN39" s="120">
        <f t="shared" si="19"/>
        <v>84562.165000000008</v>
      </c>
      <c r="BO39" s="120">
        <f t="shared" si="20"/>
        <v>2483449.5049999999</v>
      </c>
    </row>
    <row r="40" spans="2:67" ht="15.75" hidden="1" customHeight="1" x14ac:dyDescent="0.25">
      <c r="B40" s="72" t="s">
        <v>144</v>
      </c>
      <c r="C40" s="74" t="s">
        <v>145</v>
      </c>
      <c r="D40" s="72" t="s">
        <v>146</v>
      </c>
      <c r="E40" s="72" t="s">
        <v>79</v>
      </c>
      <c r="F40" s="74">
        <v>25</v>
      </c>
      <c r="G40" s="75">
        <v>43831</v>
      </c>
      <c r="H40" s="75">
        <v>45658</v>
      </c>
      <c r="I40" s="87" t="s">
        <v>147</v>
      </c>
      <c r="J40" s="72" t="s">
        <v>106</v>
      </c>
      <c r="K40" s="74" t="s">
        <v>81</v>
      </c>
      <c r="L40" s="76">
        <v>8.0500000000000007</v>
      </c>
      <c r="M40" s="76">
        <v>4.79</v>
      </c>
      <c r="N40" s="77">
        <v>17697</v>
      </c>
      <c r="O40" s="78">
        <f t="shared" si="0"/>
        <v>84768.63</v>
      </c>
      <c r="P40" s="74">
        <v>4</v>
      </c>
      <c r="Q40" s="74">
        <v>4</v>
      </c>
      <c r="R40" s="74">
        <v>2</v>
      </c>
      <c r="S40" s="114"/>
      <c r="T40" s="114"/>
      <c r="U40" s="114"/>
      <c r="V40" s="78">
        <f t="shared" si="6"/>
        <v>18837.473333333335</v>
      </c>
      <c r="W40" s="78">
        <f t="shared" si="7"/>
        <v>18837.473333333335</v>
      </c>
      <c r="X40" s="78">
        <f t="shared" si="8"/>
        <v>9418.7366666666676</v>
      </c>
      <c r="Y40" s="79"/>
      <c r="Z40" s="79"/>
      <c r="AA40" s="79"/>
      <c r="AB40" s="78">
        <f t="shared" si="9"/>
        <v>47093.683333333334</v>
      </c>
      <c r="AC40" s="78">
        <f t="shared" si="10"/>
        <v>23546.841666666667</v>
      </c>
      <c r="AD40" s="78">
        <f t="shared" si="11"/>
        <v>17660.131249999999</v>
      </c>
      <c r="AE40" s="78">
        <f t="shared" si="12"/>
        <v>8830.0656250000011</v>
      </c>
      <c r="AF40" s="78">
        <f t="shared" si="13"/>
        <v>97130.721875000003</v>
      </c>
      <c r="AG40" s="120"/>
      <c r="AH40" s="125"/>
      <c r="AI40" s="125">
        <f t="shared" si="22"/>
        <v>0</v>
      </c>
      <c r="AJ40" s="125"/>
      <c r="AK40" s="125">
        <f t="shared" si="26"/>
        <v>0.17777777777777778</v>
      </c>
      <c r="AL40" s="125">
        <f t="shared" si="14"/>
        <v>0</v>
      </c>
      <c r="AM40" s="125">
        <f t="shared" si="15"/>
        <v>0.17777777777777778</v>
      </c>
      <c r="AN40" s="125"/>
      <c r="AO40" s="125">
        <f t="shared" si="21"/>
        <v>0</v>
      </c>
      <c r="AP40" s="125"/>
      <c r="AQ40" s="125">
        <f t="shared" si="23"/>
        <v>0</v>
      </c>
      <c r="AR40" s="131">
        <f t="shared" si="16"/>
        <v>0</v>
      </c>
      <c r="AS40" s="125">
        <f t="shared" si="16"/>
        <v>0</v>
      </c>
      <c r="AT40" s="125">
        <f t="shared" si="17"/>
        <v>0</v>
      </c>
      <c r="AU40" s="125">
        <f t="shared" si="17"/>
        <v>0.17777777777777778</v>
      </c>
      <c r="AV40" s="126">
        <v>8</v>
      </c>
      <c r="AW40" s="126"/>
      <c r="AX40" s="130">
        <v>0.5</v>
      </c>
      <c r="AY40" s="126"/>
      <c r="AZ40" s="125">
        <f>N39*60%</f>
        <v>10618.199999999999</v>
      </c>
      <c r="BA40" s="129"/>
      <c r="BB40" s="129"/>
      <c r="BC40" s="126">
        <v>10</v>
      </c>
      <c r="BD40" s="125">
        <f>(AB40+AC40+AD40)*30%</f>
        <v>26490.196874999998</v>
      </c>
      <c r="BE40" s="125"/>
      <c r="BF40" s="125">
        <v>10</v>
      </c>
      <c r="BG40" s="125">
        <f>(AB40+AC40+AD40)*35%</f>
        <v>30905.229687499999</v>
      </c>
      <c r="BH40" s="125">
        <f>7079/18*4</f>
        <v>1573.1111111111111</v>
      </c>
      <c r="BI40" s="126"/>
      <c r="BJ40" s="126"/>
      <c r="BK40" s="120">
        <f t="shared" si="27"/>
        <v>69586.915451388879</v>
      </c>
      <c r="BL40" s="120">
        <f t="shared" si="4"/>
        <v>166717.63732638888</v>
      </c>
      <c r="BM40" s="120">
        <f t="shared" si="5"/>
        <v>76527.235416666663</v>
      </c>
      <c r="BN40" s="120">
        <f t="shared" si="19"/>
        <v>90190.401909722219</v>
      </c>
      <c r="BO40" s="120">
        <f t="shared" si="20"/>
        <v>2000611.6479166667</v>
      </c>
    </row>
    <row r="41" spans="2:67" ht="15.75" hidden="1" customHeight="1" x14ac:dyDescent="0.25">
      <c r="B41" s="72" t="s">
        <v>149</v>
      </c>
      <c r="C41" s="74" t="s">
        <v>112</v>
      </c>
      <c r="D41" s="72" t="s">
        <v>151</v>
      </c>
      <c r="E41" s="72" t="s">
        <v>79</v>
      </c>
      <c r="F41" s="74">
        <v>27</v>
      </c>
      <c r="G41" s="75">
        <v>42119</v>
      </c>
      <c r="H41" s="75">
        <v>43946</v>
      </c>
      <c r="I41" s="72" t="s">
        <v>114</v>
      </c>
      <c r="J41" s="72" t="s">
        <v>235</v>
      </c>
      <c r="K41" s="74" t="s">
        <v>148</v>
      </c>
      <c r="L41" s="76">
        <v>16.010000000000002</v>
      </c>
      <c r="M41" s="76">
        <v>4.99</v>
      </c>
      <c r="N41" s="77">
        <v>17697</v>
      </c>
      <c r="O41" s="78">
        <f>SUM(N41*M41)</f>
        <v>88308.03</v>
      </c>
      <c r="P41" s="74"/>
      <c r="Q41" s="74">
        <v>2.5</v>
      </c>
      <c r="R41" s="74">
        <v>6</v>
      </c>
      <c r="S41" s="114"/>
      <c r="T41" s="114"/>
      <c r="U41" s="114"/>
      <c r="V41" s="78">
        <f t="shared" si="6"/>
        <v>0</v>
      </c>
      <c r="W41" s="78">
        <f t="shared" si="7"/>
        <v>12265.004166666668</v>
      </c>
      <c r="X41" s="78">
        <f t="shared" si="8"/>
        <v>29436.010000000002</v>
      </c>
      <c r="Y41" s="79"/>
      <c r="Z41" s="79"/>
      <c r="AA41" s="79"/>
      <c r="AB41" s="78">
        <f t="shared" si="9"/>
        <v>41701.014166666668</v>
      </c>
      <c r="AC41" s="78">
        <f t="shared" si="10"/>
        <v>20850.507083333334</v>
      </c>
      <c r="AD41" s="78">
        <f t="shared" si="11"/>
        <v>15637.880312500001</v>
      </c>
      <c r="AE41" s="78">
        <f t="shared" si="12"/>
        <v>7818.9401562500007</v>
      </c>
      <c r="AF41" s="78">
        <f t="shared" si="13"/>
        <v>86008.341718750002</v>
      </c>
      <c r="AG41" s="120"/>
      <c r="AH41" s="125"/>
      <c r="AI41" s="125">
        <f t="shared" si="22"/>
        <v>0</v>
      </c>
      <c r="AJ41" s="125"/>
      <c r="AK41" s="125">
        <f t="shared" si="26"/>
        <v>0</v>
      </c>
      <c r="AL41" s="125">
        <f t="shared" si="14"/>
        <v>0</v>
      </c>
      <c r="AM41" s="125">
        <f t="shared" si="15"/>
        <v>0</v>
      </c>
      <c r="AN41" s="125"/>
      <c r="AO41" s="125">
        <f t="shared" si="21"/>
        <v>0</v>
      </c>
      <c r="AP41" s="131" t="s">
        <v>225</v>
      </c>
      <c r="AQ41" s="125">
        <f t="shared" si="23"/>
        <v>1671.3833333333332</v>
      </c>
      <c r="AR41" s="131">
        <f t="shared" si="16"/>
        <v>4.25</v>
      </c>
      <c r="AS41" s="125">
        <f t="shared" si="16"/>
        <v>1671.3833333333332</v>
      </c>
      <c r="AT41" s="125">
        <v>4.25</v>
      </c>
      <c r="AU41" s="125">
        <f t="shared" si="17"/>
        <v>1671.3833333333332</v>
      </c>
      <c r="AV41" s="126"/>
      <c r="AW41" s="126"/>
      <c r="AX41" s="130"/>
      <c r="AY41" s="126"/>
      <c r="AZ41" s="125"/>
      <c r="BA41" s="129"/>
      <c r="BB41" s="129"/>
      <c r="BC41" s="126">
        <v>9.5</v>
      </c>
      <c r="BD41" s="125">
        <f>(AB41+AC41+AD41+AB63+AC63+AD63)*30%</f>
        <v>26216.446406250001</v>
      </c>
      <c r="BE41" s="125"/>
      <c r="BF41" s="130">
        <v>9.5</v>
      </c>
      <c r="BG41" s="125">
        <f>(AB41+AC41+AD41+AB63+AC63+AD63)*30%</f>
        <v>26216.446406250001</v>
      </c>
      <c r="BH41" s="126"/>
      <c r="BI41" s="126"/>
      <c r="BJ41" s="126"/>
      <c r="BK41" s="120">
        <f t="shared" si="27"/>
        <v>54104.276145833341</v>
      </c>
      <c r="BL41" s="120">
        <f t="shared" si="4"/>
        <v>140112.61786458333</v>
      </c>
      <c r="BM41" s="120">
        <f t="shared" si="5"/>
        <v>70523.773958333331</v>
      </c>
      <c r="BN41" s="120">
        <f t="shared" si="19"/>
        <v>69588.843906249997</v>
      </c>
      <c r="BO41" s="120">
        <f t="shared" si="20"/>
        <v>1681351.4143749999</v>
      </c>
    </row>
    <row r="42" spans="2:67" ht="15.75" hidden="1" customHeight="1" x14ac:dyDescent="0.25">
      <c r="B42" s="72" t="s">
        <v>149</v>
      </c>
      <c r="C42" s="73" t="s">
        <v>150</v>
      </c>
      <c r="D42" s="72" t="s">
        <v>151</v>
      </c>
      <c r="E42" s="72" t="s">
        <v>79</v>
      </c>
      <c r="F42" s="74">
        <v>33</v>
      </c>
      <c r="G42" s="75">
        <v>42529</v>
      </c>
      <c r="H42" s="75">
        <v>44355</v>
      </c>
      <c r="I42" s="72" t="s">
        <v>152</v>
      </c>
      <c r="J42" s="72" t="s">
        <v>235</v>
      </c>
      <c r="K42" s="74" t="s">
        <v>148</v>
      </c>
      <c r="L42" s="76">
        <v>16.010000000000002</v>
      </c>
      <c r="M42" s="76">
        <v>4.99</v>
      </c>
      <c r="N42" s="77">
        <v>17697</v>
      </c>
      <c r="O42" s="78">
        <f t="shared" si="0"/>
        <v>88308.03</v>
      </c>
      <c r="P42" s="74"/>
      <c r="Q42" s="74">
        <v>6</v>
      </c>
      <c r="R42" s="74">
        <v>4</v>
      </c>
      <c r="S42" s="114"/>
      <c r="T42" s="114"/>
      <c r="U42" s="114"/>
      <c r="V42" s="78">
        <f t="shared" si="6"/>
        <v>0</v>
      </c>
      <c r="W42" s="78">
        <f t="shared" si="7"/>
        <v>29436.010000000002</v>
      </c>
      <c r="X42" s="78">
        <f t="shared" si="8"/>
        <v>19624.006666666668</v>
      </c>
      <c r="Y42" s="79"/>
      <c r="Z42" s="79"/>
      <c r="AA42" s="79"/>
      <c r="AB42" s="78">
        <f t="shared" si="9"/>
        <v>49060.01666666667</v>
      </c>
      <c r="AC42" s="78">
        <f t="shared" si="10"/>
        <v>24530.008333333335</v>
      </c>
      <c r="AD42" s="78">
        <f t="shared" si="11"/>
        <v>18397.506250000002</v>
      </c>
      <c r="AE42" s="78">
        <f t="shared" si="12"/>
        <v>9198.7531250000011</v>
      </c>
      <c r="AF42" s="78">
        <f t="shared" si="13"/>
        <v>101186.28437500002</v>
      </c>
      <c r="AG42" s="120"/>
      <c r="AH42" s="125"/>
      <c r="AI42" s="125">
        <f t="shared" si="22"/>
        <v>0</v>
      </c>
      <c r="AJ42" s="125"/>
      <c r="AK42" s="125">
        <f t="shared" si="26"/>
        <v>0</v>
      </c>
      <c r="AL42" s="125">
        <f t="shared" si="14"/>
        <v>0</v>
      </c>
      <c r="AM42" s="125">
        <f t="shared" si="15"/>
        <v>0</v>
      </c>
      <c r="AN42" s="125"/>
      <c r="AO42" s="125">
        <f t="shared" si="21"/>
        <v>0</v>
      </c>
      <c r="AP42" s="131" t="s">
        <v>226</v>
      </c>
      <c r="AQ42" s="125">
        <f t="shared" si="23"/>
        <v>1966.3333333333333</v>
      </c>
      <c r="AR42" s="131">
        <f t="shared" si="16"/>
        <v>5</v>
      </c>
      <c r="AS42" s="125">
        <f t="shared" si="16"/>
        <v>1966.3333333333333</v>
      </c>
      <c r="AT42" s="125">
        <v>5</v>
      </c>
      <c r="AU42" s="125">
        <f t="shared" si="17"/>
        <v>1966.3333333333333</v>
      </c>
      <c r="AV42" s="126">
        <v>5</v>
      </c>
      <c r="AW42" s="126"/>
      <c r="AX42" s="130">
        <v>1</v>
      </c>
      <c r="AY42" s="126"/>
      <c r="AZ42" s="125">
        <f>N41*60%</f>
        <v>10618.199999999999</v>
      </c>
      <c r="BA42" s="129">
        <v>1</v>
      </c>
      <c r="BB42" s="129">
        <f>N42*20%</f>
        <v>3539.4</v>
      </c>
      <c r="BC42" s="126">
        <v>11</v>
      </c>
      <c r="BD42" s="125">
        <f>(AB42+AC42+AD42+AB66+AC66+AD66)*30%</f>
        <v>30355.885312500002</v>
      </c>
      <c r="BE42" s="125">
        <f>BE26</f>
        <v>17697</v>
      </c>
      <c r="BF42" s="125">
        <v>11</v>
      </c>
      <c r="BG42" s="125">
        <f>(AB42+AC42+AD42+AB66+AC66+AD66)*30%</f>
        <v>30355.885312500002</v>
      </c>
      <c r="BH42" s="126"/>
      <c r="BI42" s="126"/>
      <c r="BJ42" s="126"/>
      <c r="BK42" s="120">
        <f t="shared" si="27"/>
        <v>94532.703958333339</v>
      </c>
      <c r="BL42" s="120">
        <f t="shared" si="4"/>
        <v>195718.98833333334</v>
      </c>
      <c r="BM42" s="120">
        <f t="shared" si="5"/>
        <v>100179.15302083334</v>
      </c>
      <c r="BN42" s="120">
        <f t="shared" si="19"/>
        <v>95539.835312499999</v>
      </c>
      <c r="BO42" s="120">
        <f t="shared" si="20"/>
        <v>2348627.8600000003</v>
      </c>
    </row>
    <row r="43" spans="2:67" ht="15.75" hidden="1" customHeight="1" x14ac:dyDescent="0.25">
      <c r="B43" s="140" t="s">
        <v>238</v>
      </c>
      <c r="C43" s="74" t="s">
        <v>158</v>
      </c>
      <c r="D43" s="72" t="s">
        <v>236</v>
      </c>
      <c r="E43" s="72" t="s">
        <v>79</v>
      </c>
      <c r="F43" s="74"/>
      <c r="G43" s="72"/>
      <c r="H43" s="72"/>
      <c r="I43" s="72" t="s">
        <v>159</v>
      </c>
      <c r="J43" s="72" t="s">
        <v>156</v>
      </c>
      <c r="K43" s="74" t="s">
        <v>157</v>
      </c>
      <c r="L43" s="76">
        <v>13.04</v>
      </c>
      <c r="M43" s="82">
        <v>4.49</v>
      </c>
      <c r="N43" s="77">
        <v>17697</v>
      </c>
      <c r="O43" s="78">
        <f t="shared" si="0"/>
        <v>79459.53</v>
      </c>
      <c r="P43" s="74"/>
      <c r="Q43" s="139">
        <v>5</v>
      </c>
      <c r="R43" s="74"/>
      <c r="S43" s="114"/>
      <c r="T43" s="115"/>
      <c r="U43" s="114"/>
      <c r="V43" s="78">
        <f t="shared" si="6"/>
        <v>0</v>
      </c>
      <c r="W43" s="78">
        <f t="shared" si="7"/>
        <v>22072.091666666667</v>
      </c>
      <c r="X43" s="78">
        <f t="shared" si="8"/>
        <v>0</v>
      </c>
      <c r="Y43" s="79"/>
      <c r="Z43" s="79"/>
      <c r="AA43" s="79"/>
      <c r="AB43" s="78">
        <f t="shared" si="9"/>
        <v>22072.091666666667</v>
      </c>
      <c r="AC43" s="78">
        <f t="shared" si="10"/>
        <v>11036.045833333334</v>
      </c>
      <c r="AD43" s="78">
        <f t="shared" si="11"/>
        <v>8277.0343749999993</v>
      </c>
      <c r="AE43" s="78">
        <f t="shared" si="12"/>
        <v>4138.5171875000005</v>
      </c>
      <c r="AF43" s="78">
        <f t="shared" si="13"/>
        <v>45523.689062500001</v>
      </c>
      <c r="AG43" s="120"/>
      <c r="AH43" s="125"/>
      <c r="AI43" s="125">
        <f t="shared" si="22"/>
        <v>0</v>
      </c>
      <c r="AJ43" s="125"/>
      <c r="AK43" s="125">
        <f t="shared" si="26"/>
        <v>0</v>
      </c>
      <c r="AL43" s="125">
        <f t="shared" si="14"/>
        <v>0</v>
      </c>
      <c r="AM43" s="125">
        <f t="shared" si="15"/>
        <v>0</v>
      </c>
      <c r="AN43" s="125"/>
      <c r="AO43" s="125">
        <f t="shared" si="21"/>
        <v>0</v>
      </c>
      <c r="AP43" s="125"/>
      <c r="AQ43" s="125">
        <f t="shared" si="23"/>
        <v>0</v>
      </c>
      <c r="AR43" s="131">
        <f t="shared" si="16"/>
        <v>0</v>
      </c>
      <c r="AS43" s="125">
        <f t="shared" si="16"/>
        <v>0</v>
      </c>
      <c r="AT43" s="125">
        <f t="shared" si="17"/>
        <v>0</v>
      </c>
      <c r="AU43" s="125">
        <f t="shared" si="17"/>
        <v>0</v>
      </c>
      <c r="AV43" s="126">
        <v>6</v>
      </c>
      <c r="AW43" s="126"/>
      <c r="AX43" s="130">
        <v>0.5</v>
      </c>
      <c r="AY43" s="126"/>
      <c r="AZ43" s="125">
        <f>N42*60%</f>
        <v>10618.199999999999</v>
      </c>
      <c r="BA43" s="129"/>
      <c r="BB43" s="129"/>
      <c r="BC43" s="126">
        <v>5</v>
      </c>
      <c r="BD43" s="125">
        <f t="shared" si="25"/>
        <v>12415.551562499999</v>
      </c>
      <c r="BE43" s="125"/>
      <c r="BF43" s="125"/>
      <c r="BG43" s="126"/>
      <c r="BH43" s="126"/>
      <c r="BI43" s="126"/>
      <c r="BJ43" s="126"/>
      <c r="BK43" s="120">
        <f t="shared" si="27"/>
        <v>23033.751562499998</v>
      </c>
      <c r="BL43" s="120">
        <f t="shared" si="4"/>
        <v>68557.440625000003</v>
      </c>
      <c r="BM43" s="120">
        <f t="shared" si="5"/>
        <v>35867.148958333331</v>
      </c>
      <c r="BN43" s="120">
        <f t="shared" si="19"/>
        <v>32690.291666666672</v>
      </c>
      <c r="BO43" s="120">
        <f t="shared" si="20"/>
        <v>822689.28750000009</v>
      </c>
    </row>
    <row r="44" spans="2:67" ht="15.75" hidden="1" customHeight="1" x14ac:dyDescent="0.25">
      <c r="B44" s="72" t="s">
        <v>161</v>
      </c>
      <c r="C44" s="74" t="s">
        <v>162</v>
      </c>
      <c r="D44" s="72" t="s">
        <v>163</v>
      </c>
      <c r="E44" s="72" t="s">
        <v>118</v>
      </c>
      <c r="F44" s="74">
        <v>28</v>
      </c>
      <c r="G44" s="72"/>
      <c r="H44" s="72"/>
      <c r="I44" s="72" t="s">
        <v>162</v>
      </c>
      <c r="J44" s="72" t="s">
        <v>156</v>
      </c>
      <c r="K44" s="74" t="s">
        <v>160</v>
      </c>
      <c r="L44" s="76">
        <v>14.1</v>
      </c>
      <c r="M44" s="82">
        <v>3.61</v>
      </c>
      <c r="N44" s="77">
        <v>17697</v>
      </c>
      <c r="O44" s="78">
        <f t="shared" si="0"/>
        <v>63886.17</v>
      </c>
      <c r="P44" s="74"/>
      <c r="Q44" s="139">
        <v>1</v>
      </c>
      <c r="R44" s="74"/>
      <c r="S44" s="114"/>
      <c r="T44" s="115"/>
      <c r="U44" s="114"/>
      <c r="V44" s="78">
        <f t="shared" si="6"/>
        <v>0</v>
      </c>
      <c r="W44" s="78">
        <f t="shared" si="7"/>
        <v>3549.2316666666666</v>
      </c>
      <c r="X44" s="78">
        <f t="shared" si="8"/>
        <v>0</v>
      </c>
      <c r="Y44" s="79"/>
      <c r="Z44" s="79"/>
      <c r="AA44" s="79"/>
      <c r="AB44" s="78">
        <f t="shared" si="9"/>
        <v>3549.2316666666666</v>
      </c>
      <c r="AC44" s="78">
        <f t="shared" si="10"/>
        <v>1774.6158333333333</v>
      </c>
      <c r="AD44" s="78">
        <f t="shared" si="11"/>
        <v>1330.961875</v>
      </c>
      <c r="AE44" s="78">
        <f t="shared" si="12"/>
        <v>665.48093749999998</v>
      </c>
      <c r="AF44" s="78">
        <f t="shared" si="13"/>
        <v>7320.2903124999993</v>
      </c>
      <c r="AG44" s="120"/>
      <c r="AH44" s="125"/>
      <c r="AI44" s="125">
        <f t="shared" si="22"/>
        <v>0</v>
      </c>
      <c r="AJ44" s="125"/>
      <c r="AK44" s="125">
        <f t="shared" si="26"/>
        <v>0</v>
      </c>
      <c r="AL44" s="125">
        <f t="shared" si="14"/>
        <v>0</v>
      </c>
      <c r="AM44" s="125">
        <f t="shared" si="15"/>
        <v>0</v>
      </c>
      <c r="AN44" s="125"/>
      <c r="AO44" s="125">
        <f t="shared" si="21"/>
        <v>0</v>
      </c>
      <c r="AP44" s="125"/>
      <c r="AQ44" s="125">
        <f t="shared" si="23"/>
        <v>0</v>
      </c>
      <c r="AR44" s="131">
        <f t="shared" si="16"/>
        <v>0</v>
      </c>
      <c r="AS44" s="125">
        <f t="shared" si="16"/>
        <v>0</v>
      </c>
      <c r="AT44" s="125">
        <f t="shared" si="17"/>
        <v>0</v>
      </c>
      <c r="AU44" s="125">
        <f t="shared" si="17"/>
        <v>0</v>
      </c>
      <c r="AV44" s="126"/>
      <c r="AW44" s="126"/>
      <c r="AX44" s="126"/>
      <c r="AY44" s="126"/>
      <c r="AZ44" s="125"/>
      <c r="BA44" s="129"/>
      <c r="BB44" s="129"/>
      <c r="BC44" s="126">
        <v>1</v>
      </c>
      <c r="BD44" s="125">
        <f t="shared" si="25"/>
        <v>1996.4428124999999</v>
      </c>
      <c r="BE44" s="125"/>
      <c r="BF44" s="125"/>
      <c r="BG44" s="126"/>
      <c r="BH44" s="126"/>
      <c r="BI44" s="126"/>
      <c r="BJ44" s="126"/>
      <c r="BK44" s="120">
        <f t="shared" si="27"/>
        <v>1996.4428124999999</v>
      </c>
      <c r="BL44" s="120">
        <f t="shared" si="4"/>
        <v>9316.7331249999988</v>
      </c>
      <c r="BM44" s="120">
        <f t="shared" si="5"/>
        <v>5767.5014583333332</v>
      </c>
      <c r="BN44" s="120">
        <f t="shared" si="19"/>
        <v>3549.2316666666657</v>
      </c>
      <c r="BO44" s="120">
        <f t="shared" si="20"/>
        <v>111800.79749999999</v>
      </c>
    </row>
    <row r="45" spans="2:67" ht="15.75" customHeight="1" x14ac:dyDescent="0.25">
      <c r="B45" s="89" t="s">
        <v>164</v>
      </c>
      <c r="C45" s="74"/>
      <c r="D45" s="72"/>
      <c r="E45" s="74"/>
      <c r="F45" s="74"/>
      <c r="G45" s="74"/>
      <c r="H45" s="74"/>
      <c r="I45" s="74"/>
      <c r="J45" s="74"/>
      <c r="K45" s="74"/>
      <c r="L45" s="90"/>
      <c r="M45" s="91"/>
      <c r="N45" s="92"/>
      <c r="O45" s="94">
        <f>SUM(O16:O44)</f>
        <v>2546421.3299999991</v>
      </c>
      <c r="P45" s="94">
        <f t="shared" ref="P45:BO45" si="28">SUM(P16:P44)</f>
        <v>97</v>
      </c>
      <c r="Q45" s="94">
        <f t="shared" si="28"/>
        <v>133</v>
      </c>
      <c r="R45" s="94">
        <f t="shared" si="28"/>
        <v>62</v>
      </c>
      <c r="S45" s="94">
        <f t="shared" si="28"/>
        <v>0</v>
      </c>
      <c r="T45" s="94">
        <f t="shared" si="28"/>
        <v>0</v>
      </c>
      <c r="U45" s="94">
        <f t="shared" si="28"/>
        <v>0</v>
      </c>
      <c r="V45" s="94">
        <f t="shared" si="28"/>
        <v>482911.80333333334</v>
      </c>
      <c r="W45" s="94">
        <f t="shared" si="28"/>
        <v>666621.41083333339</v>
      </c>
      <c r="X45" s="94">
        <f t="shared" si="28"/>
        <v>301694.52333333332</v>
      </c>
      <c r="Y45" s="94">
        <f t="shared" si="28"/>
        <v>0</v>
      </c>
      <c r="Z45" s="94">
        <f t="shared" si="28"/>
        <v>0</v>
      </c>
      <c r="AA45" s="94">
        <f t="shared" si="28"/>
        <v>0</v>
      </c>
      <c r="AB45" s="94">
        <f t="shared" si="28"/>
        <v>1451227.7374999996</v>
      </c>
      <c r="AC45" s="94">
        <f t="shared" si="28"/>
        <v>725613.86874999979</v>
      </c>
      <c r="AD45" s="94">
        <f t="shared" si="28"/>
        <v>544210.40156250005</v>
      </c>
      <c r="AE45" s="94">
        <f t="shared" si="28"/>
        <v>272105.20078125002</v>
      </c>
      <c r="AF45" s="94">
        <f t="shared" si="28"/>
        <v>2993157.2085937499</v>
      </c>
      <c r="AG45" s="94">
        <f t="shared" si="28"/>
        <v>0</v>
      </c>
      <c r="AH45" s="94">
        <f t="shared" si="28"/>
        <v>42.5</v>
      </c>
      <c r="AI45" s="94">
        <f t="shared" ca="1" si="28"/>
        <v>2546421.3299999991</v>
      </c>
      <c r="AJ45" s="94">
        <f t="shared" si="28"/>
        <v>4</v>
      </c>
      <c r="AK45" s="94">
        <f t="shared" si="28"/>
        <v>1966.5111111111109</v>
      </c>
      <c r="AL45" s="94">
        <f t="shared" si="28"/>
        <v>46.677777777777777</v>
      </c>
      <c r="AM45" s="94">
        <f t="shared" ca="1" si="28"/>
        <v>2546421.3299999991</v>
      </c>
      <c r="AN45" s="94">
        <f t="shared" si="28"/>
        <v>14.5</v>
      </c>
      <c r="AO45" s="94">
        <f t="shared" si="28"/>
        <v>7127.9583333333339</v>
      </c>
      <c r="AP45" s="94">
        <f t="shared" si="28"/>
        <v>14</v>
      </c>
      <c r="AQ45" s="94">
        <f t="shared" si="28"/>
        <v>15534.033333333333</v>
      </c>
      <c r="AR45" s="94">
        <f t="shared" si="28"/>
        <v>52.5</v>
      </c>
      <c r="AS45" s="94">
        <f t="shared" si="28"/>
        <v>22661.991666666665</v>
      </c>
      <c r="AT45" s="94">
        <f t="shared" si="28"/>
        <v>99.177777777777777</v>
      </c>
      <c r="AU45" s="94">
        <f t="shared" ca="1" si="28"/>
        <v>2546421.3299999991</v>
      </c>
      <c r="AV45" s="94">
        <f t="shared" si="28"/>
        <v>63</v>
      </c>
      <c r="AW45" s="94">
        <f t="shared" si="28"/>
        <v>4</v>
      </c>
      <c r="AX45" s="94">
        <f t="shared" si="28"/>
        <v>4</v>
      </c>
      <c r="AY45" s="94">
        <f t="shared" si="28"/>
        <v>2</v>
      </c>
      <c r="AZ45" s="94">
        <f t="shared" si="28"/>
        <v>109721.39999999998</v>
      </c>
      <c r="BA45" s="94">
        <f t="shared" si="28"/>
        <v>3</v>
      </c>
      <c r="BB45" s="94">
        <f t="shared" si="28"/>
        <v>10618.2</v>
      </c>
      <c r="BC45" s="94">
        <f t="shared" si="28"/>
        <v>326</v>
      </c>
      <c r="BD45" s="94">
        <f t="shared" si="28"/>
        <v>914091.52734375</v>
      </c>
      <c r="BE45" s="94">
        <f t="shared" si="28"/>
        <v>53091</v>
      </c>
      <c r="BF45" s="94">
        <f t="shared" si="28"/>
        <v>164.5</v>
      </c>
      <c r="BG45" s="94">
        <f t="shared" si="28"/>
        <v>938601.87234374997</v>
      </c>
      <c r="BH45" s="94">
        <f t="shared" si="28"/>
        <v>12978.166666666666</v>
      </c>
      <c r="BI45" s="94">
        <f t="shared" si="28"/>
        <v>29170</v>
      </c>
      <c r="BJ45" s="94">
        <f t="shared" si="28"/>
        <v>17697</v>
      </c>
      <c r="BK45" s="94">
        <f t="shared" si="28"/>
        <v>2127311.5024652784</v>
      </c>
      <c r="BL45" s="94">
        <f t="shared" si="28"/>
        <v>5120468.7110590274</v>
      </c>
      <c r="BM45" s="94">
        <f t="shared" si="28"/>
        <v>2509111.9984374996</v>
      </c>
      <c r="BN45" s="94">
        <f t="shared" si="28"/>
        <v>2611356.7126215273</v>
      </c>
      <c r="BO45" s="94">
        <f t="shared" si="28"/>
        <v>61445624.532708332</v>
      </c>
    </row>
    <row r="46" spans="2:67" ht="15.75" customHeight="1" x14ac:dyDescent="0.25">
      <c r="B46" s="89" t="s">
        <v>165</v>
      </c>
      <c r="C46" s="74"/>
      <c r="D46" s="72"/>
      <c r="E46" s="72"/>
      <c r="F46" s="72"/>
      <c r="G46" s="72"/>
      <c r="H46" s="72"/>
      <c r="I46" s="72"/>
      <c r="J46" s="74"/>
      <c r="K46" s="74"/>
      <c r="L46" s="76"/>
      <c r="M46" s="96"/>
      <c r="N46" s="77"/>
      <c r="O46" s="78">
        <f>O47+O58+O76</f>
        <v>2614554.7800000003</v>
      </c>
      <c r="P46" s="78">
        <f t="shared" ref="P46:BO46" si="29">P47+P58+P76</f>
        <v>3</v>
      </c>
      <c r="Q46" s="78">
        <f t="shared" si="29"/>
        <v>0</v>
      </c>
      <c r="R46" s="78">
        <f t="shared" si="29"/>
        <v>0</v>
      </c>
      <c r="S46" s="78">
        <f t="shared" si="29"/>
        <v>10</v>
      </c>
      <c r="T46" s="78">
        <f t="shared" si="29"/>
        <v>14</v>
      </c>
      <c r="U46" s="78">
        <f t="shared" si="29"/>
        <v>16</v>
      </c>
      <c r="V46" s="78">
        <f t="shared" si="29"/>
        <v>11385.07</v>
      </c>
      <c r="W46" s="78">
        <f t="shared" si="29"/>
        <v>0</v>
      </c>
      <c r="X46" s="78">
        <f t="shared" si="29"/>
        <v>0</v>
      </c>
      <c r="Y46" s="78">
        <f t="shared" si="29"/>
        <v>49826.886666666673</v>
      </c>
      <c r="Z46" s="78">
        <f t="shared" si="29"/>
        <v>63178.29</v>
      </c>
      <c r="AA46" s="78">
        <f t="shared" si="29"/>
        <v>78967.94666666667</v>
      </c>
      <c r="AB46" s="78">
        <f t="shared" si="29"/>
        <v>203358.19333333336</v>
      </c>
      <c r="AC46" s="78">
        <f t="shared" si="29"/>
        <v>101679.09666666668</v>
      </c>
      <c r="AD46" s="78">
        <f t="shared" si="29"/>
        <v>76259.322499999995</v>
      </c>
      <c r="AE46" s="78">
        <f t="shared" si="29"/>
        <v>35392.1565625</v>
      </c>
      <c r="AF46" s="78">
        <f t="shared" si="29"/>
        <v>416688.76906250004</v>
      </c>
      <c r="AG46" s="78">
        <f t="shared" si="29"/>
        <v>0</v>
      </c>
      <c r="AH46" s="78">
        <f t="shared" si="29"/>
        <v>0</v>
      </c>
      <c r="AI46" s="78">
        <f t="shared" si="29"/>
        <v>0</v>
      </c>
      <c r="AJ46" s="78">
        <f t="shared" si="29"/>
        <v>0</v>
      </c>
      <c r="AK46" s="78">
        <f t="shared" si="29"/>
        <v>0</v>
      </c>
      <c r="AL46" s="78">
        <f t="shared" si="29"/>
        <v>0</v>
      </c>
      <c r="AM46" s="78">
        <f t="shared" si="29"/>
        <v>0</v>
      </c>
      <c r="AN46" s="78">
        <f t="shared" si="29"/>
        <v>0</v>
      </c>
      <c r="AO46" s="78">
        <f t="shared" si="29"/>
        <v>0</v>
      </c>
      <c r="AP46" s="78">
        <f t="shared" si="29"/>
        <v>0</v>
      </c>
      <c r="AQ46" s="78">
        <f t="shared" si="29"/>
        <v>0</v>
      </c>
      <c r="AR46" s="78">
        <f t="shared" si="29"/>
        <v>0</v>
      </c>
      <c r="AS46" s="78">
        <f t="shared" si="29"/>
        <v>0</v>
      </c>
      <c r="AT46" s="78">
        <f t="shared" si="29"/>
        <v>0</v>
      </c>
      <c r="AU46" s="78">
        <f t="shared" si="29"/>
        <v>0</v>
      </c>
      <c r="AV46" s="78">
        <f t="shared" si="29"/>
        <v>0</v>
      </c>
      <c r="AW46" s="78">
        <f t="shared" si="29"/>
        <v>0</v>
      </c>
      <c r="AX46" s="78">
        <f t="shared" si="29"/>
        <v>0</v>
      </c>
      <c r="AY46" s="78">
        <f t="shared" si="29"/>
        <v>0</v>
      </c>
      <c r="AZ46" s="78">
        <f t="shared" si="29"/>
        <v>0</v>
      </c>
      <c r="BA46" s="78">
        <f t="shared" si="29"/>
        <v>0</v>
      </c>
      <c r="BB46" s="78">
        <f t="shared" si="29"/>
        <v>0</v>
      </c>
      <c r="BC46" s="78">
        <f t="shared" si="29"/>
        <v>3</v>
      </c>
      <c r="BD46" s="78">
        <f t="shared" si="29"/>
        <v>8212.5140624999985</v>
      </c>
      <c r="BE46" s="78">
        <f t="shared" si="29"/>
        <v>0</v>
      </c>
      <c r="BF46" s="78">
        <f t="shared" si="29"/>
        <v>0</v>
      </c>
      <c r="BG46" s="78">
        <f t="shared" si="29"/>
        <v>0</v>
      </c>
      <c r="BH46" s="78">
        <f t="shared" si="29"/>
        <v>0</v>
      </c>
      <c r="BI46" s="78">
        <f t="shared" si="29"/>
        <v>0</v>
      </c>
      <c r="BJ46" s="78">
        <f t="shared" si="29"/>
        <v>0</v>
      </c>
      <c r="BK46" s="78">
        <f t="shared" si="29"/>
        <v>0</v>
      </c>
      <c r="BL46" s="78">
        <f t="shared" si="29"/>
        <v>416688.76906250004</v>
      </c>
      <c r="BM46" s="78">
        <f t="shared" si="29"/>
        <v>213330.57572916668</v>
      </c>
      <c r="BN46" s="78">
        <f t="shared" si="29"/>
        <v>203358.19333333336</v>
      </c>
      <c r="BO46" s="78">
        <f t="shared" si="29"/>
        <v>5000265.2287499988</v>
      </c>
    </row>
    <row r="47" spans="2:67" ht="15.75" customHeight="1" x14ac:dyDescent="0.25">
      <c r="B47" s="97" t="s">
        <v>166</v>
      </c>
      <c r="C47" s="73"/>
      <c r="D47" s="72"/>
      <c r="E47" s="72"/>
      <c r="F47" s="72"/>
      <c r="G47" s="72"/>
      <c r="H47" s="72"/>
      <c r="I47" s="72"/>
      <c r="J47" s="74"/>
      <c r="K47" s="74"/>
      <c r="L47" s="76"/>
      <c r="M47" s="98"/>
      <c r="N47" s="77"/>
      <c r="O47" s="94">
        <f>SUM(O48:O57)</f>
        <v>836537.19000000018</v>
      </c>
      <c r="P47" s="94">
        <f t="shared" ref="P47:BO47" si="30">SUM(P48:P57)</f>
        <v>0</v>
      </c>
      <c r="Q47" s="94">
        <f t="shared" si="30"/>
        <v>0</v>
      </c>
      <c r="R47" s="94">
        <f t="shared" si="30"/>
        <v>0</v>
      </c>
      <c r="S47" s="94">
        <f t="shared" si="30"/>
        <v>3</v>
      </c>
      <c r="T47" s="94">
        <f t="shared" si="30"/>
        <v>9</v>
      </c>
      <c r="U47" s="94">
        <f t="shared" si="30"/>
        <v>4</v>
      </c>
      <c r="V47" s="94">
        <f t="shared" si="30"/>
        <v>0</v>
      </c>
      <c r="W47" s="94">
        <f t="shared" si="30"/>
        <v>0</v>
      </c>
      <c r="X47" s="94">
        <f t="shared" si="30"/>
        <v>0</v>
      </c>
      <c r="Y47" s="94">
        <f t="shared" si="30"/>
        <v>15956.795000000002</v>
      </c>
      <c r="Z47" s="94">
        <f t="shared" si="30"/>
        <v>39405.32</v>
      </c>
      <c r="AA47" s="94">
        <f t="shared" si="30"/>
        <v>18168.919999999998</v>
      </c>
      <c r="AB47" s="94">
        <f t="shared" si="30"/>
        <v>73531.035000000003</v>
      </c>
      <c r="AC47" s="94">
        <f t="shared" si="30"/>
        <v>36765.517500000002</v>
      </c>
      <c r="AD47" s="94">
        <f t="shared" si="30"/>
        <v>27574.138124999998</v>
      </c>
      <c r="AE47" s="94">
        <f t="shared" si="30"/>
        <v>11962.0659375</v>
      </c>
      <c r="AF47" s="94">
        <f t="shared" si="30"/>
        <v>149832.7565625</v>
      </c>
      <c r="AG47" s="94">
        <f t="shared" si="30"/>
        <v>0</v>
      </c>
      <c r="AH47" s="94">
        <f t="shared" si="30"/>
        <v>0</v>
      </c>
      <c r="AI47" s="94">
        <f t="shared" si="30"/>
        <v>0</v>
      </c>
      <c r="AJ47" s="94">
        <f t="shared" si="30"/>
        <v>0</v>
      </c>
      <c r="AK47" s="94">
        <f t="shared" si="30"/>
        <v>0</v>
      </c>
      <c r="AL47" s="94">
        <f t="shared" si="30"/>
        <v>0</v>
      </c>
      <c r="AM47" s="94">
        <f t="shared" si="30"/>
        <v>0</v>
      </c>
      <c r="AN47" s="94">
        <f t="shared" si="30"/>
        <v>0</v>
      </c>
      <c r="AO47" s="94">
        <f t="shared" si="30"/>
        <v>0</v>
      </c>
      <c r="AP47" s="94">
        <f t="shared" si="30"/>
        <v>0</v>
      </c>
      <c r="AQ47" s="94">
        <f t="shared" si="30"/>
        <v>0</v>
      </c>
      <c r="AR47" s="94">
        <f t="shared" si="30"/>
        <v>0</v>
      </c>
      <c r="AS47" s="94">
        <f t="shared" si="30"/>
        <v>0</v>
      </c>
      <c r="AT47" s="94">
        <f t="shared" si="30"/>
        <v>0</v>
      </c>
      <c r="AU47" s="94">
        <f t="shared" si="30"/>
        <v>0</v>
      </c>
      <c r="AV47" s="94">
        <f t="shared" si="30"/>
        <v>0</v>
      </c>
      <c r="AW47" s="94">
        <f t="shared" si="30"/>
        <v>0</v>
      </c>
      <c r="AX47" s="94">
        <f t="shared" si="30"/>
        <v>0</v>
      </c>
      <c r="AY47" s="94">
        <f t="shared" si="30"/>
        <v>0</v>
      </c>
      <c r="AZ47" s="94">
        <f t="shared" si="30"/>
        <v>0</v>
      </c>
      <c r="BA47" s="94">
        <f t="shared" si="30"/>
        <v>0</v>
      </c>
      <c r="BB47" s="94">
        <f t="shared" si="30"/>
        <v>0</v>
      </c>
      <c r="BC47" s="94">
        <f t="shared" si="30"/>
        <v>2</v>
      </c>
      <c r="BD47" s="94">
        <f t="shared" si="30"/>
        <v>5475.0093749999996</v>
      </c>
      <c r="BE47" s="94">
        <f t="shared" si="30"/>
        <v>0</v>
      </c>
      <c r="BF47" s="94">
        <f t="shared" si="30"/>
        <v>0</v>
      </c>
      <c r="BG47" s="94">
        <f t="shared" si="30"/>
        <v>0</v>
      </c>
      <c r="BH47" s="94">
        <f t="shared" si="30"/>
        <v>0</v>
      </c>
      <c r="BI47" s="94">
        <f t="shared" si="30"/>
        <v>0</v>
      </c>
      <c r="BJ47" s="94">
        <f t="shared" si="30"/>
        <v>0</v>
      </c>
      <c r="BK47" s="94">
        <f t="shared" si="30"/>
        <v>0</v>
      </c>
      <c r="BL47" s="94">
        <f t="shared" si="30"/>
        <v>149832.7565625</v>
      </c>
      <c r="BM47" s="94">
        <f t="shared" si="30"/>
        <v>76301.721562499995</v>
      </c>
      <c r="BN47" s="94">
        <f t="shared" si="30"/>
        <v>73531.035000000003</v>
      </c>
      <c r="BO47" s="94">
        <f t="shared" si="30"/>
        <v>1797993.0787499999</v>
      </c>
    </row>
    <row r="48" spans="2:67" ht="15.75" hidden="1" customHeight="1" x14ac:dyDescent="0.25">
      <c r="B48" s="72" t="s">
        <v>126</v>
      </c>
      <c r="C48" s="74" t="s">
        <v>168</v>
      </c>
      <c r="D48" s="72" t="s">
        <v>127</v>
      </c>
      <c r="E48" s="72" t="s">
        <v>79</v>
      </c>
      <c r="F48" s="74">
        <v>55</v>
      </c>
      <c r="G48" s="72" t="s">
        <v>128</v>
      </c>
      <c r="H48" s="72" t="s">
        <v>97</v>
      </c>
      <c r="I48" s="72" t="s">
        <v>85</v>
      </c>
      <c r="J48" s="72" t="s">
        <v>86</v>
      </c>
      <c r="K48" s="74" t="s">
        <v>87</v>
      </c>
      <c r="L48" s="76">
        <v>32.03</v>
      </c>
      <c r="M48" s="76">
        <v>5.41</v>
      </c>
      <c r="N48" s="77">
        <v>17697</v>
      </c>
      <c r="O48" s="78">
        <f t="shared" ref="O48:O57" si="31">SUM(N48*M48)</f>
        <v>95740.77</v>
      </c>
      <c r="P48" s="74"/>
      <c r="Q48" s="74"/>
      <c r="R48" s="74"/>
      <c r="S48" s="79"/>
      <c r="T48" s="79">
        <v>1</v>
      </c>
      <c r="U48" s="79"/>
      <c r="V48" s="78"/>
      <c r="W48" s="78"/>
      <c r="X48" s="78"/>
      <c r="Y48" s="118">
        <f>O48/18*S48</f>
        <v>0</v>
      </c>
      <c r="Z48" s="118">
        <f>O48/18*T48</f>
        <v>5318.9316666666673</v>
      </c>
      <c r="AA48" s="92"/>
      <c r="AB48" s="120">
        <f>O48/18*T48</f>
        <v>5318.9316666666673</v>
      </c>
      <c r="AC48" s="120">
        <f>AB48*50%</f>
        <v>2659.4658333333336</v>
      </c>
      <c r="AD48" s="120">
        <f t="shared" si="11"/>
        <v>1994.5993750000002</v>
      </c>
      <c r="AE48" s="120">
        <f t="shared" ref="AE48:AE79" si="32">SUM(AB48+AD48+AC48)*10%</f>
        <v>997.29968750000012</v>
      </c>
      <c r="AF48" s="120">
        <f t="shared" ref="AF48:AF77" si="33">SUM(AB48:AE48)</f>
        <v>10970.296562500002</v>
      </c>
      <c r="AG48" s="46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53"/>
      <c r="AW48" s="53"/>
      <c r="AX48" s="53"/>
      <c r="AY48" s="53"/>
      <c r="AZ48" s="53"/>
      <c r="BA48" s="49"/>
      <c r="BB48" s="49"/>
      <c r="BC48" s="45"/>
      <c r="BD48" s="79"/>
      <c r="BE48" s="47"/>
      <c r="BF48" s="51"/>
      <c r="BG48" s="47"/>
      <c r="BH48" s="47"/>
      <c r="BI48" s="47"/>
      <c r="BJ48" s="47"/>
      <c r="BK48" s="94"/>
      <c r="BL48" s="120">
        <f t="shared" ref="BL48:BL79" si="34">AF48</f>
        <v>10970.296562500002</v>
      </c>
      <c r="BM48" s="120">
        <f t="shared" ref="BM48:BM79" si="35">AD48+AC48+AE48</f>
        <v>5651.3648958333333</v>
      </c>
      <c r="BN48" s="120">
        <f>BL48-BM48</f>
        <v>5318.9316666666682</v>
      </c>
      <c r="BO48" s="120">
        <f>BL48*12</f>
        <v>131643.55875000003</v>
      </c>
    </row>
    <row r="49" spans="2:67" ht="15.75" hidden="1" customHeight="1" x14ac:dyDescent="0.25">
      <c r="B49" s="72" t="s">
        <v>88</v>
      </c>
      <c r="C49" s="74" t="s">
        <v>169</v>
      </c>
      <c r="D49" s="72" t="s">
        <v>90</v>
      </c>
      <c r="E49" s="72" t="s">
        <v>79</v>
      </c>
      <c r="F49" s="74">
        <v>47</v>
      </c>
      <c r="G49" s="75">
        <v>43335</v>
      </c>
      <c r="H49" s="75">
        <v>45161</v>
      </c>
      <c r="I49" s="72" t="s">
        <v>91</v>
      </c>
      <c r="J49" s="72" t="s">
        <v>92</v>
      </c>
      <c r="K49" s="74" t="s">
        <v>87</v>
      </c>
      <c r="L49" s="76">
        <v>20.079999999999998</v>
      </c>
      <c r="M49" s="82">
        <v>5.32</v>
      </c>
      <c r="N49" s="77">
        <v>17697</v>
      </c>
      <c r="O49" s="78">
        <f t="shared" si="31"/>
        <v>94148.040000000008</v>
      </c>
      <c r="P49" s="74"/>
      <c r="Q49" s="79"/>
      <c r="R49" s="74"/>
      <c r="S49" s="78"/>
      <c r="T49" s="99">
        <v>1</v>
      </c>
      <c r="U49" s="78"/>
      <c r="V49" s="78"/>
      <c r="W49" s="78"/>
      <c r="X49" s="78"/>
      <c r="Y49" s="118">
        <f t="shared" ref="Y49:Y57" si="36">O49/18*S49</f>
        <v>0</v>
      </c>
      <c r="Z49" s="118">
        <f t="shared" ref="Z49:Z57" si="37">O49/18*T49</f>
        <v>5230.4466666666667</v>
      </c>
      <c r="AA49" s="92"/>
      <c r="AB49" s="120">
        <f>O49/18*T49</f>
        <v>5230.4466666666667</v>
      </c>
      <c r="AC49" s="120">
        <f t="shared" ref="AC49:AC57" si="38">AB49*50%</f>
        <v>2615.2233333333334</v>
      </c>
      <c r="AD49" s="120">
        <f t="shared" si="11"/>
        <v>1961.4175</v>
      </c>
      <c r="AE49" s="120">
        <f t="shared" si="32"/>
        <v>980.70875000000001</v>
      </c>
      <c r="AF49" s="120">
        <f t="shared" si="33"/>
        <v>10787.796249999999</v>
      </c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5"/>
      <c r="AW49" s="45"/>
      <c r="AX49" s="48"/>
      <c r="AY49" s="45"/>
      <c r="AZ49" s="47"/>
      <c r="BA49" s="45"/>
      <c r="BB49" s="45"/>
      <c r="BC49" s="45"/>
      <c r="BD49" s="74"/>
      <c r="BE49" s="45"/>
      <c r="BF49" s="45"/>
      <c r="BG49" s="45"/>
      <c r="BH49" s="45"/>
      <c r="BI49" s="45"/>
      <c r="BJ49" s="45"/>
      <c r="BK49" s="94"/>
      <c r="BL49" s="120">
        <f t="shared" si="34"/>
        <v>10787.796249999999</v>
      </c>
      <c r="BM49" s="120">
        <f t="shared" si="35"/>
        <v>5557.3495833333327</v>
      </c>
      <c r="BN49" s="120">
        <f t="shared" ref="BN49:BN79" si="39">BL49-BM49</f>
        <v>5230.4466666666667</v>
      </c>
      <c r="BO49" s="120">
        <f t="shared" ref="BO49:BO79" si="40">BL49*12</f>
        <v>129453.55499999999</v>
      </c>
    </row>
    <row r="50" spans="2:67" ht="15.75" hidden="1" customHeight="1" x14ac:dyDescent="0.25">
      <c r="B50" s="72" t="s">
        <v>115</v>
      </c>
      <c r="C50" s="74" t="s">
        <v>171</v>
      </c>
      <c r="D50" s="72" t="s">
        <v>117</v>
      </c>
      <c r="E50" s="72" t="s">
        <v>118</v>
      </c>
      <c r="F50" s="74">
        <v>32</v>
      </c>
      <c r="G50" s="75">
        <v>42529</v>
      </c>
      <c r="H50" s="75">
        <v>44355</v>
      </c>
      <c r="I50" s="72" t="s">
        <v>119</v>
      </c>
      <c r="J50" s="72" t="s">
        <v>106</v>
      </c>
      <c r="K50" s="74" t="s">
        <v>239</v>
      </c>
      <c r="L50" s="76">
        <v>37.01</v>
      </c>
      <c r="M50" s="76">
        <v>4.29</v>
      </c>
      <c r="N50" s="77">
        <v>17697</v>
      </c>
      <c r="O50" s="78">
        <f t="shared" si="31"/>
        <v>75920.13</v>
      </c>
      <c r="P50" s="74"/>
      <c r="Q50" s="74"/>
      <c r="R50" s="74"/>
      <c r="S50" s="78"/>
      <c r="T50" s="99">
        <v>2</v>
      </c>
      <c r="U50" s="78"/>
      <c r="V50" s="78"/>
      <c r="W50" s="78"/>
      <c r="X50" s="78"/>
      <c r="Y50" s="118">
        <f t="shared" si="36"/>
        <v>0</v>
      </c>
      <c r="Z50" s="118">
        <f t="shared" si="37"/>
        <v>8435.57</v>
      </c>
      <c r="AA50" s="92"/>
      <c r="AB50" s="120">
        <f>O50/18*T50</f>
        <v>8435.57</v>
      </c>
      <c r="AC50" s="120">
        <f t="shared" si="38"/>
        <v>4217.7849999999999</v>
      </c>
      <c r="AD50" s="120">
        <f t="shared" si="11"/>
        <v>3163.3387499999999</v>
      </c>
      <c r="AE50" s="120">
        <f t="shared" si="32"/>
        <v>1581.6693749999999</v>
      </c>
      <c r="AF50" s="120">
        <f t="shared" si="33"/>
        <v>17398.363125</v>
      </c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5"/>
      <c r="AW50" s="45"/>
      <c r="AX50" s="45"/>
      <c r="AY50" s="45"/>
      <c r="AZ50" s="47"/>
      <c r="BA50" s="45"/>
      <c r="BB50" s="45"/>
      <c r="BC50" s="45"/>
      <c r="BD50" s="74"/>
      <c r="BE50" s="45"/>
      <c r="BF50" s="45"/>
      <c r="BG50" s="45"/>
      <c r="BH50" s="45"/>
      <c r="BI50" s="45"/>
      <c r="BJ50" s="45"/>
      <c r="BK50" s="94"/>
      <c r="BL50" s="120">
        <f t="shared" si="34"/>
        <v>17398.363125</v>
      </c>
      <c r="BM50" s="120">
        <f t="shared" si="35"/>
        <v>8962.7931250000001</v>
      </c>
      <c r="BN50" s="120">
        <f t="shared" si="39"/>
        <v>8435.57</v>
      </c>
      <c r="BO50" s="120">
        <f t="shared" si="40"/>
        <v>208780.35749999998</v>
      </c>
    </row>
    <row r="51" spans="2:67" ht="15.75" hidden="1" customHeight="1" x14ac:dyDescent="0.25">
      <c r="B51" s="83" t="s">
        <v>139</v>
      </c>
      <c r="C51" s="74" t="s">
        <v>172</v>
      </c>
      <c r="D51" s="72" t="s">
        <v>141</v>
      </c>
      <c r="E51" s="72" t="s">
        <v>79</v>
      </c>
      <c r="F51" s="74">
        <v>29</v>
      </c>
      <c r="G51" s="72" t="s">
        <v>136</v>
      </c>
      <c r="H51" s="72" t="s">
        <v>137</v>
      </c>
      <c r="I51" s="72" t="s">
        <v>101</v>
      </c>
      <c r="J51" s="72" t="s">
        <v>79</v>
      </c>
      <c r="K51" s="74" t="s">
        <v>87</v>
      </c>
      <c r="L51" s="76">
        <v>38.03</v>
      </c>
      <c r="M51" s="76">
        <v>5.41</v>
      </c>
      <c r="N51" s="77">
        <v>17697</v>
      </c>
      <c r="O51" s="78">
        <f t="shared" si="31"/>
        <v>95740.77</v>
      </c>
      <c r="P51" s="79"/>
      <c r="Q51" s="74"/>
      <c r="R51" s="74"/>
      <c r="S51" s="79">
        <v>2</v>
      </c>
      <c r="T51" s="79"/>
      <c r="U51" s="79"/>
      <c r="V51" s="78"/>
      <c r="W51" s="78"/>
      <c r="X51" s="78"/>
      <c r="Y51" s="118">
        <f t="shared" si="36"/>
        <v>10637.863333333335</v>
      </c>
      <c r="Z51" s="118">
        <f t="shared" si="37"/>
        <v>0</v>
      </c>
      <c r="AA51" s="92"/>
      <c r="AB51" s="120">
        <f>Y51</f>
        <v>10637.863333333335</v>
      </c>
      <c r="AC51" s="120">
        <f t="shared" si="38"/>
        <v>5318.9316666666673</v>
      </c>
      <c r="AD51" s="120">
        <f t="shared" si="11"/>
        <v>3989.1987500000005</v>
      </c>
      <c r="AE51" s="120">
        <f t="shared" si="32"/>
        <v>1994.5993750000002</v>
      </c>
      <c r="AF51" s="120">
        <f t="shared" si="33"/>
        <v>21940.593125000003</v>
      </c>
      <c r="AG51" s="46"/>
      <c r="AH51" s="50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5"/>
      <c r="AW51" s="45"/>
      <c r="AX51" s="45"/>
      <c r="AY51" s="45"/>
      <c r="AZ51" s="47"/>
      <c r="BA51" s="49"/>
      <c r="BB51" s="49"/>
      <c r="BC51" s="45"/>
      <c r="BD51" s="79"/>
      <c r="BE51" s="47"/>
      <c r="BF51" s="47"/>
      <c r="BG51" s="47"/>
      <c r="BH51" s="47"/>
      <c r="BI51" s="47"/>
      <c r="BJ51" s="47"/>
      <c r="BK51" s="94"/>
      <c r="BL51" s="120">
        <f t="shared" si="34"/>
        <v>21940.593125000003</v>
      </c>
      <c r="BM51" s="120">
        <f t="shared" si="35"/>
        <v>11302.729791666667</v>
      </c>
      <c r="BN51" s="120">
        <f t="shared" si="39"/>
        <v>10637.863333333336</v>
      </c>
      <c r="BO51" s="120">
        <f t="shared" si="40"/>
        <v>263287.11750000005</v>
      </c>
    </row>
    <row r="52" spans="2:67" ht="15.75" hidden="1" customHeight="1" x14ac:dyDescent="0.25">
      <c r="B52" s="83" t="s">
        <v>124</v>
      </c>
      <c r="C52" s="74" t="s">
        <v>167</v>
      </c>
      <c r="D52" s="163" t="s">
        <v>125</v>
      </c>
      <c r="E52" s="72" t="s">
        <v>79</v>
      </c>
      <c r="F52" s="74">
        <v>51</v>
      </c>
      <c r="G52" s="75">
        <v>43335</v>
      </c>
      <c r="H52" s="75">
        <v>45161</v>
      </c>
      <c r="I52" s="72" t="s">
        <v>101</v>
      </c>
      <c r="J52" s="72" t="s">
        <v>92</v>
      </c>
      <c r="K52" s="74" t="s">
        <v>87</v>
      </c>
      <c r="L52" s="84">
        <v>29.11</v>
      </c>
      <c r="M52" s="76">
        <v>5.41</v>
      </c>
      <c r="N52" s="77">
        <v>17697</v>
      </c>
      <c r="O52" s="78">
        <f t="shared" si="31"/>
        <v>95740.77</v>
      </c>
      <c r="P52" s="74"/>
      <c r="Q52" s="74"/>
      <c r="R52" s="74"/>
      <c r="S52" s="78">
        <v>1</v>
      </c>
      <c r="T52" s="99"/>
      <c r="U52" s="78"/>
      <c r="V52" s="78"/>
      <c r="W52" s="78"/>
      <c r="X52" s="78"/>
      <c r="Y52" s="118">
        <f t="shared" si="36"/>
        <v>5318.9316666666673</v>
      </c>
      <c r="Z52" s="118">
        <f t="shared" si="37"/>
        <v>0</v>
      </c>
      <c r="AA52" s="92"/>
      <c r="AB52" s="120">
        <f>Y52</f>
        <v>5318.9316666666673</v>
      </c>
      <c r="AC52" s="120">
        <f t="shared" si="38"/>
        <v>2659.4658333333336</v>
      </c>
      <c r="AD52" s="120">
        <f t="shared" si="11"/>
        <v>1994.5993750000002</v>
      </c>
      <c r="AE52" s="120">
        <f t="shared" si="32"/>
        <v>997.29968750000012</v>
      </c>
      <c r="AF52" s="120">
        <f t="shared" si="33"/>
        <v>10970.296562500002</v>
      </c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5"/>
      <c r="AW52" s="52"/>
      <c r="AX52" s="45"/>
      <c r="AY52" s="45"/>
      <c r="AZ52" s="47"/>
      <c r="BA52" s="45"/>
      <c r="BB52" s="45"/>
      <c r="BC52" s="45"/>
      <c r="BD52" s="74"/>
      <c r="BE52" s="45"/>
      <c r="BF52" s="45"/>
      <c r="BG52" s="45"/>
      <c r="BH52" s="45"/>
      <c r="BI52" s="45"/>
      <c r="BJ52" s="45"/>
      <c r="BK52" s="94"/>
      <c r="BL52" s="120">
        <f t="shared" si="34"/>
        <v>10970.296562500002</v>
      </c>
      <c r="BM52" s="120">
        <f t="shared" si="35"/>
        <v>5651.3648958333333</v>
      </c>
      <c r="BN52" s="120">
        <f t="shared" si="39"/>
        <v>5318.9316666666682</v>
      </c>
      <c r="BO52" s="120">
        <f t="shared" si="40"/>
        <v>131643.55875000003</v>
      </c>
    </row>
    <row r="53" spans="2:67" ht="15.75" hidden="1" customHeight="1" x14ac:dyDescent="0.25">
      <c r="B53" s="72" t="s">
        <v>115</v>
      </c>
      <c r="C53" s="74" t="s">
        <v>231</v>
      </c>
      <c r="D53" s="72" t="s">
        <v>117</v>
      </c>
      <c r="E53" s="72" t="s">
        <v>118</v>
      </c>
      <c r="F53" s="74">
        <v>32</v>
      </c>
      <c r="G53" s="75">
        <v>42529</v>
      </c>
      <c r="H53" s="75">
        <v>44355</v>
      </c>
      <c r="I53" s="72" t="s">
        <v>119</v>
      </c>
      <c r="J53" s="72" t="s">
        <v>106</v>
      </c>
      <c r="K53" s="74" t="s">
        <v>239</v>
      </c>
      <c r="L53" s="76">
        <v>37.01</v>
      </c>
      <c r="M53" s="76">
        <v>4.29</v>
      </c>
      <c r="N53" s="77">
        <v>17697</v>
      </c>
      <c r="O53" s="78">
        <f t="shared" si="31"/>
        <v>75920.13</v>
      </c>
      <c r="P53" s="74"/>
      <c r="Q53" s="88"/>
      <c r="R53" s="74"/>
      <c r="S53" s="79"/>
      <c r="T53" s="79">
        <v>2</v>
      </c>
      <c r="U53" s="79"/>
      <c r="V53" s="78"/>
      <c r="W53" s="78"/>
      <c r="X53" s="78"/>
      <c r="Y53" s="118">
        <f t="shared" si="36"/>
        <v>0</v>
      </c>
      <c r="Z53" s="118">
        <f t="shared" si="37"/>
        <v>8435.57</v>
      </c>
      <c r="AA53" s="92"/>
      <c r="AB53" s="120">
        <f>O53/18*T53</f>
        <v>8435.57</v>
      </c>
      <c r="AC53" s="120">
        <f t="shared" si="38"/>
        <v>4217.7849999999999</v>
      </c>
      <c r="AD53" s="120">
        <f t="shared" si="11"/>
        <v>3163.3387499999999</v>
      </c>
      <c r="AE53" s="120">
        <f t="shared" si="32"/>
        <v>1581.6693749999999</v>
      </c>
      <c r="AF53" s="120">
        <f t="shared" si="33"/>
        <v>17398.363125</v>
      </c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5"/>
      <c r="AW53" s="45"/>
      <c r="AX53" s="48"/>
      <c r="AY53" s="45"/>
      <c r="AZ53" s="47"/>
      <c r="BA53" s="49"/>
      <c r="BB53" s="49"/>
      <c r="BC53" s="45"/>
      <c r="BD53" s="79"/>
      <c r="BE53" s="47"/>
      <c r="BF53" s="47"/>
      <c r="BG53" s="45"/>
      <c r="BH53" s="45"/>
      <c r="BI53" s="45"/>
      <c r="BJ53" s="45"/>
      <c r="BK53" s="94"/>
      <c r="BL53" s="120">
        <f t="shared" si="34"/>
        <v>17398.363125</v>
      </c>
      <c r="BM53" s="120">
        <f t="shared" si="35"/>
        <v>8962.7931250000001</v>
      </c>
      <c r="BN53" s="120">
        <f t="shared" si="39"/>
        <v>8435.57</v>
      </c>
      <c r="BO53" s="120">
        <f t="shared" si="40"/>
        <v>208780.35749999998</v>
      </c>
    </row>
    <row r="54" spans="2:67" s="117" customFormat="1" ht="15.75" hidden="1" customHeight="1" x14ac:dyDescent="0.25">
      <c r="B54" s="81" t="s">
        <v>102</v>
      </c>
      <c r="C54" s="114" t="s">
        <v>213</v>
      </c>
      <c r="D54" s="142" t="s">
        <v>104</v>
      </c>
      <c r="E54" s="81" t="s">
        <v>79</v>
      </c>
      <c r="F54" s="114">
        <v>53</v>
      </c>
      <c r="G54" s="143">
        <v>43335</v>
      </c>
      <c r="H54" s="143">
        <v>45161</v>
      </c>
      <c r="I54" s="81" t="s">
        <v>105</v>
      </c>
      <c r="J54" s="81" t="s">
        <v>106</v>
      </c>
      <c r="K54" s="114" t="s">
        <v>81</v>
      </c>
      <c r="L54" s="96">
        <v>14.05</v>
      </c>
      <c r="M54" s="96">
        <v>4.95</v>
      </c>
      <c r="N54" s="144">
        <v>17697</v>
      </c>
      <c r="O54" s="145">
        <f t="shared" si="31"/>
        <v>87600.150000000009</v>
      </c>
      <c r="P54" s="114"/>
      <c r="Q54" s="114"/>
      <c r="R54" s="114"/>
      <c r="S54" s="115"/>
      <c r="T54" s="115"/>
      <c r="U54" s="115">
        <v>2</v>
      </c>
      <c r="V54" s="145"/>
      <c r="W54" s="145"/>
      <c r="X54" s="145"/>
      <c r="Y54" s="146">
        <f t="shared" si="36"/>
        <v>0</v>
      </c>
      <c r="Z54" s="146">
        <f t="shared" si="37"/>
        <v>0</v>
      </c>
      <c r="AA54" s="132">
        <f>O54/18*U54</f>
        <v>9733.35</v>
      </c>
      <c r="AB54" s="147">
        <f>O54/18*U54</f>
        <v>9733.35</v>
      </c>
      <c r="AC54" s="147">
        <f t="shared" si="38"/>
        <v>4866.6750000000002</v>
      </c>
      <c r="AD54" s="147">
        <f t="shared" si="11"/>
        <v>3650.0062500000004</v>
      </c>
      <c r="AE54" s="147"/>
      <c r="AF54" s="147">
        <f t="shared" ref="AF54" si="41">SUM(AB54:AE54)</f>
        <v>18250.03125</v>
      </c>
      <c r="AG54" s="148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50"/>
      <c r="AW54" s="150"/>
      <c r="AX54" s="150"/>
      <c r="AY54" s="150"/>
      <c r="AZ54" s="149"/>
      <c r="BA54" s="151"/>
      <c r="BB54" s="151"/>
      <c r="BC54" s="150">
        <v>2</v>
      </c>
      <c r="BD54" s="125">
        <f t="shared" ref="BD54" si="42">(AB54+AC54+AD54)*30%</f>
        <v>5475.0093749999996</v>
      </c>
      <c r="BE54" s="149"/>
      <c r="BF54" s="149"/>
      <c r="BG54" s="149"/>
      <c r="BH54" s="149"/>
      <c r="BI54" s="149"/>
      <c r="BJ54" s="149"/>
      <c r="BK54" s="152"/>
      <c r="BL54" s="147">
        <f t="shared" si="34"/>
        <v>18250.03125</v>
      </c>
      <c r="BM54" s="147">
        <f t="shared" si="35"/>
        <v>8516.6812500000015</v>
      </c>
      <c r="BN54" s="147">
        <f t="shared" si="39"/>
        <v>9733.3499999999985</v>
      </c>
      <c r="BO54" s="147">
        <f t="shared" si="40"/>
        <v>219000.375</v>
      </c>
    </row>
    <row r="55" spans="2:67" ht="15.75" hidden="1" customHeight="1" x14ac:dyDescent="0.25">
      <c r="B55" s="72" t="s">
        <v>115</v>
      </c>
      <c r="C55" s="74" t="s">
        <v>175</v>
      </c>
      <c r="D55" s="72" t="s">
        <v>117</v>
      </c>
      <c r="E55" s="72" t="s">
        <v>118</v>
      </c>
      <c r="F55" s="74">
        <v>32</v>
      </c>
      <c r="G55" s="75">
        <v>42529</v>
      </c>
      <c r="H55" s="75">
        <v>44355</v>
      </c>
      <c r="I55" s="72" t="s">
        <v>119</v>
      </c>
      <c r="J55" s="72" t="s">
        <v>106</v>
      </c>
      <c r="K55" s="74" t="s">
        <v>239</v>
      </c>
      <c r="L55" s="76">
        <v>37.01</v>
      </c>
      <c r="M55" s="76">
        <v>4.29</v>
      </c>
      <c r="N55" s="77">
        <v>17697</v>
      </c>
      <c r="O55" s="78">
        <f t="shared" si="31"/>
        <v>75920.13</v>
      </c>
      <c r="P55" s="74"/>
      <c r="Q55" s="74"/>
      <c r="R55" s="74"/>
      <c r="S55" s="78"/>
      <c r="T55" s="78"/>
      <c r="U55" s="99">
        <v>2</v>
      </c>
      <c r="V55" s="78"/>
      <c r="W55" s="78"/>
      <c r="X55" s="78"/>
      <c r="Y55" s="118">
        <f t="shared" si="36"/>
        <v>0</v>
      </c>
      <c r="Z55" s="118">
        <f t="shared" si="37"/>
        <v>0</v>
      </c>
      <c r="AA55" s="125">
        <f>O55/18*U55</f>
        <v>8435.57</v>
      </c>
      <c r="AB55" s="120">
        <f>O55/18*U55</f>
        <v>8435.57</v>
      </c>
      <c r="AC55" s="120">
        <f t="shared" si="38"/>
        <v>4217.7849999999999</v>
      </c>
      <c r="AD55" s="120">
        <f t="shared" si="11"/>
        <v>3163.3387499999999</v>
      </c>
      <c r="AE55" s="120">
        <f t="shared" ref="AE55" si="43">SUM(AB55+AD55+AC55)*10%</f>
        <v>1581.6693749999999</v>
      </c>
      <c r="AF55" s="120">
        <f t="shared" ref="AF55" si="44">SUM(AB55:AE55)</f>
        <v>17398.363125</v>
      </c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5"/>
      <c r="AW55" s="45"/>
      <c r="AX55" s="45"/>
      <c r="AY55" s="45"/>
      <c r="AZ55" s="47"/>
      <c r="BA55" s="45"/>
      <c r="BB55" s="45"/>
      <c r="BC55" s="45"/>
      <c r="BD55" s="125"/>
      <c r="BE55" s="45"/>
      <c r="BF55" s="45"/>
      <c r="BG55" s="45"/>
      <c r="BH55" s="45"/>
      <c r="BI55" s="45"/>
      <c r="BJ55" s="45"/>
      <c r="BK55" s="94"/>
      <c r="BL55" s="120">
        <f t="shared" si="34"/>
        <v>17398.363125</v>
      </c>
      <c r="BM55" s="120">
        <f t="shared" si="35"/>
        <v>8962.7931250000001</v>
      </c>
      <c r="BN55" s="120">
        <f t="shared" si="39"/>
        <v>8435.57</v>
      </c>
      <c r="BO55" s="120">
        <f t="shared" si="40"/>
        <v>208780.35749999998</v>
      </c>
    </row>
    <row r="56" spans="2:67" ht="15.75" hidden="1" customHeight="1" x14ac:dyDescent="0.25">
      <c r="B56" s="72" t="s">
        <v>161</v>
      </c>
      <c r="C56" s="74" t="s">
        <v>203</v>
      </c>
      <c r="D56" s="72" t="s">
        <v>163</v>
      </c>
      <c r="E56" s="72" t="s">
        <v>79</v>
      </c>
      <c r="F56" s="74">
        <v>28</v>
      </c>
      <c r="G56" s="72"/>
      <c r="H56" s="72"/>
      <c r="I56" s="72" t="s">
        <v>162</v>
      </c>
      <c r="J56" s="72" t="s">
        <v>156</v>
      </c>
      <c r="K56" s="74" t="s">
        <v>160</v>
      </c>
      <c r="L56" s="76">
        <v>14.1</v>
      </c>
      <c r="M56" s="82">
        <v>3.61</v>
      </c>
      <c r="N56" s="77">
        <v>17697</v>
      </c>
      <c r="O56" s="78">
        <f t="shared" si="31"/>
        <v>63886.17</v>
      </c>
      <c r="P56" s="74"/>
      <c r="Q56" s="88"/>
      <c r="R56" s="74"/>
      <c r="S56" s="79"/>
      <c r="T56" s="79">
        <v>1</v>
      </c>
      <c r="U56" s="79"/>
      <c r="V56" s="78"/>
      <c r="W56" s="78"/>
      <c r="X56" s="78"/>
      <c r="Y56" s="118">
        <f t="shared" si="36"/>
        <v>0</v>
      </c>
      <c r="Z56" s="118">
        <f t="shared" si="37"/>
        <v>3549.2316666666666</v>
      </c>
      <c r="AA56" s="119"/>
      <c r="AB56" s="120">
        <f>O56/18*T56</f>
        <v>3549.2316666666666</v>
      </c>
      <c r="AC56" s="120">
        <f t="shared" si="38"/>
        <v>1774.6158333333333</v>
      </c>
      <c r="AD56" s="120">
        <f t="shared" si="11"/>
        <v>1330.961875</v>
      </c>
      <c r="AE56" s="120">
        <f t="shared" si="32"/>
        <v>665.48093749999998</v>
      </c>
      <c r="AF56" s="120">
        <f t="shared" si="33"/>
        <v>7320.2903124999993</v>
      </c>
      <c r="AG56" s="46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5"/>
      <c r="AW56" s="45"/>
      <c r="AX56" s="48"/>
      <c r="AY56" s="45"/>
      <c r="AZ56" s="47"/>
      <c r="BA56" s="49"/>
      <c r="BB56" s="49"/>
      <c r="BC56" s="45"/>
      <c r="BD56" s="125"/>
      <c r="BE56" s="47"/>
      <c r="BF56" s="47"/>
      <c r="BG56" s="45"/>
      <c r="BH56" s="45"/>
      <c r="BI56" s="45"/>
      <c r="BJ56" s="45"/>
      <c r="BK56" s="94"/>
      <c r="BL56" s="120">
        <f t="shared" si="34"/>
        <v>7320.2903124999993</v>
      </c>
      <c r="BM56" s="120">
        <f t="shared" si="35"/>
        <v>3771.0586458333332</v>
      </c>
      <c r="BN56" s="120">
        <f t="shared" si="39"/>
        <v>3549.2316666666661</v>
      </c>
      <c r="BO56" s="120">
        <f t="shared" si="40"/>
        <v>87843.483749999985</v>
      </c>
    </row>
    <row r="57" spans="2:67" ht="15.75" hidden="1" customHeight="1" x14ac:dyDescent="0.25">
      <c r="B57" s="72" t="s">
        <v>115</v>
      </c>
      <c r="C57" s="74" t="s">
        <v>241</v>
      </c>
      <c r="D57" s="72" t="s">
        <v>117</v>
      </c>
      <c r="E57" s="72" t="s">
        <v>118</v>
      </c>
      <c r="F57" s="74">
        <v>32</v>
      </c>
      <c r="G57" s="75">
        <v>42529</v>
      </c>
      <c r="H57" s="75">
        <v>44355</v>
      </c>
      <c r="I57" s="72" t="s">
        <v>119</v>
      </c>
      <c r="J57" s="72" t="s">
        <v>106</v>
      </c>
      <c r="K57" s="74" t="s">
        <v>239</v>
      </c>
      <c r="L57" s="76">
        <v>37.01</v>
      </c>
      <c r="M57" s="76">
        <v>4.29</v>
      </c>
      <c r="N57" s="77">
        <v>17697</v>
      </c>
      <c r="O57" s="78">
        <f t="shared" si="31"/>
        <v>75920.13</v>
      </c>
      <c r="P57" s="74"/>
      <c r="Q57" s="74"/>
      <c r="R57" s="74"/>
      <c r="S57" s="78"/>
      <c r="T57" s="78">
        <v>2</v>
      </c>
      <c r="U57" s="99"/>
      <c r="V57" s="78"/>
      <c r="W57" s="78"/>
      <c r="X57" s="78"/>
      <c r="Y57" s="118">
        <f t="shared" si="36"/>
        <v>0</v>
      </c>
      <c r="Z57" s="118">
        <f t="shared" si="37"/>
        <v>8435.57</v>
      </c>
      <c r="AA57" s="125">
        <f>O57/18*U57</f>
        <v>0</v>
      </c>
      <c r="AB57" s="120">
        <f>O57/18*T57</f>
        <v>8435.57</v>
      </c>
      <c r="AC57" s="120">
        <f t="shared" si="38"/>
        <v>4217.7849999999999</v>
      </c>
      <c r="AD57" s="120">
        <f t="shared" si="11"/>
        <v>3163.3387499999999</v>
      </c>
      <c r="AE57" s="120">
        <f t="shared" ref="AE57" si="45">SUM(AB57+AD57+AC57)*10%</f>
        <v>1581.6693749999999</v>
      </c>
      <c r="AF57" s="120">
        <f t="shared" si="33"/>
        <v>17398.363125</v>
      </c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5"/>
      <c r="AW57" s="45"/>
      <c r="AX57" s="45"/>
      <c r="AY57" s="45"/>
      <c r="AZ57" s="47"/>
      <c r="BA57" s="45"/>
      <c r="BB57" s="45"/>
      <c r="BC57" s="45"/>
      <c r="BD57" s="125"/>
      <c r="BE57" s="45"/>
      <c r="BF57" s="45"/>
      <c r="BG57" s="45"/>
      <c r="BH57" s="45"/>
      <c r="BI57" s="45"/>
      <c r="BJ57" s="45"/>
      <c r="BK57" s="94"/>
      <c r="BL57" s="120">
        <f t="shared" si="34"/>
        <v>17398.363125</v>
      </c>
      <c r="BM57" s="120">
        <f t="shared" si="35"/>
        <v>8962.7931250000001</v>
      </c>
      <c r="BN57" s="120">
        <f t="shared" si="39"/>
        <v>8435.57</v>
      </c>
      <c r="BO57" s="120">
        <f t="shared" si="40"/>
        <v>208780.35749999998</v>
      </c>
    </row>
    <row r="58" spans="2:67" ht="15.75" customHeight="1" x14ac:dyDescent="0.25">
      <c r="B58" s="89" t="s">
        <v>176</v>
      </c>
      <c r="C58" s="74"/>
      <c r="D58" s="72"/>
      <c r="E58" s="72"/>
      <c r="F58" s="72"/>
      <c r="G58" s="72"/>
      <c r="H58" s="72"/>
      <c r="I58" s="72"/>
      <c r="J58" s="74"/>
      <c r="K58" s="74"/>
      <c r="L58" s="76"/>
      <c r="M58" s="98"/>
      <c r="N58" s="77"/>
      <c r="O58" s="94">
        <f>SUM(O59:O75)</f>
        <v>1504775.91</v>
      </c>
      <c r="P58" s="94">
        <f t="shared" ref="P58:BO58" si="46">SUM(P59:P75)</f>
        <v>0</v>
      </c>
      <c r="Q58" s="94">
        <f t="shared" si="46"/>
        <v>0</v>
      </c>
      <c r="R58" s="94">
        <f t="shared" si="46"/>
        <v>0</v>
      </c>
      <c r="S58" s="94">
        <f t="shared" si="46"/>
        <v>7</v>
      </c>
      <c r="T58" s="94">
        <f t="shared" si="46"/>
        <v>5</v>
      </c>
      <c r="U58" s="94">
        <f t="shared" si="46"/>
        <v>12</v>
      </c>
      <c r="V58" s="94">
        <f t="shared" si="46"/>
        <v>0</v>
      </c>
      <c r="W58" s="94">
        <f t="shared" si="46"/>
        <v>0</v>
      </c>
      <c r="X58" s="94">
        <f t="shared" si="46"/>
        <v>0</v>
      </c>
      <c r="Y58" s="94">
        <f t="shared" si="46"/>
        <v>33870.091666666667</v>
      </c>
      <c r="Z58" s="94">
        <f t="shared" si="46"/>
        <v>23772.97</v>
      </c>
      <c r="AA58" s="94">
        <f t="shared" si="46"/>
        <v>60799.026666666672</v>
      </c>
      <c r="AB58" s="94">
        <f t="shared" si="46"/>
        <v>118442.08833333336</v>
      </c>
      <c r="AC58" s="94">
        <f t="shared" si="46"/>
        <v>59221.044166666681</v>
      </c>
      <c r="AD58" s="94">
        <f t="shared" si="46"/>
        <v>44415.783125000002</v>
      </c>
      <c r="AE58" s="94">
        <f t="shared" si="46"/>
        <v>21295.390000000003</v>
      </c>
      <c r="AF58" s="94">
        <f t="shared" si="46"/>
        <v>243374.30562500004</v>
      </c>
      <c r="AG58" s="94">
        <f t="shared" si="46"/>
        <v>0</v>
      </c>
      <c r="AH58" s="94">
        <f t="shared" si="46"/>
        <v>0</v>
      </c>
      <c r="AI58" s="94">
        <f t="shared" si="46"/>
        <v>0</v>
      </c>
      <c r="AJ58" s="94">
        <f t="shared" si="46"/>
        <v>0</v>
      </c>
      <c r="AK58" s="94">
        <f t="shared" si="46"/>
        <v>0</v>
      </c>
      <c r="AL58" s="94">
        <f t="shared" si="46"/>
        <v>0</v>
      </c>
      <c r="AM58" s="94">
        <f t="shared" si="46"/>
        <v>0</v>
      </c>
      <c r="AN58" s="94">
        <f t="shared" si="46"/>
        <v>0</v>
      </c>
      <c r="AO58" s="94">
        <f t="shared" si="46"/>
        <v>0</v>
      </c>
      <c r="AP58" s="94">
        <f t="shared" si="46"/>
        <v>0</v>
      </c>
      <c r="AQ58" s="94">
        <f t="shared" si="46"/>
        <v>0</v>
      </c>
      <c r="AR58" s="94">
        <f t="shared" si="46"/>
        <v>0</v>
      </c>
      <c r="AS58" s="94">
        <f t="shared" si="46"/>
        <v>0</v>
      </c>
      <c r="AT58" s="94">
        <f t="shared" si="46"/>
        <v>0</v>
      </c>
      <c r="AU58" s="94">
        <f t="shared" si="46"/>
        <v>0</v>
      </c>
      <c r="AV58" s="94">
        <f t="shared" si="46"/>
        <v>0</v>
      </c>
      <c r="AW58" s="94">
        <f t="shared" si="46"/>
        <v>0</v>
      </c>
      <c r="AX58" s="94">
        <f t="shared" si="46"/>
        <v>0</v>
      </c>
      <c r="AY58" s="94">
        <f t="shared" si="46"/>
        <v>0</v>
      </c>
      <c r="AZ58" s="94">
        <f t="shared" si="46"/>
        <v>0</v>
      </c>
      <c r="BA58" s="94">
        <f t="shared" si="46"/>
        <v>0</v>
      </c>
      <c r="BB58" s="94">
        <f t="shared" si="46"/>
        <v>0</v>
      </c>
      <c r="BC58" s="94">
        <f t="shared" si="46"/>
        <v>1</v>
      </c>
      <c r="BD58" s="94">
        <f t="shared" si="46"/>
        <v>2737.5046874999998</v>
      </c>
      <c r="BE58" s="94">
        <f t="shared" si="46"/>
        <v>0</v>
      </c>
      <c r="BF58" s="94">
        <f t="shared" si="46"/>
        <v>0</v>
      </c>
      <c r="BG58" s="94">
        <f t="shared" si="46"/>
        <v>0</v>
      </c>
      <c r="BH58" s="94">
        <f t="shared" si="46"/>
        <v>0</v>
      </c>
      <c r="BI58" s="94">
        <f t="shared" si="46"/>
        <v>0</v>
      </c>
      <c r="BJ58" s="94">
        <f t="shared" si="46"/>
        <v>0</v>
      </c>
      <c r="BK58" s="94">
        <f t="shared" si="46"/>
        <v>0</v>
      </c>
      <c r="BL58" s="94">
        <f t="shared" si="46"/>
        <v>243374.30562500004</v>
      </c>
      <c r="BM58" s="94">
        <f t="shared" si="46"/>
        <v>124932.21729166669</v>
      </c>
      <c r="BN58" s="94">
        <f t="shared" si="46"/>
        <v>118442.08833333336</v>
      </c>
      <c r="BO58" s="94">
        <f t="shared" si="46"/>
        <v>2920491.6674999991</v>
      </c>
    </row>
    <row r="59" spans="2:67" ht="15.75" hidden="1" customHeight="1" x14ac:dyDescent="0.25">
      <c r="B59" s="72" t="s">
        <v>173</v>
      </c>
      <c r="C59" s="95" t="s">
        <v>204</v>
      </c>
      <c r="D59" s="72" t="s">
        <v>174</v>
      </c>
      <c r="E59" s="72" t="s">
        <v>79</v>
      </c>
      <c r="F59" s="74">
        <v>50</v>
      </c>
      <c r="G59" s="72"/>
      <c r="H59" s="72"/>
      <c r="I59" s="72" t="s">
        <v>114</v>
      </c>
      <c r="J59" s="74" t="s">
        <v>92</v>
      </c>
      <c r="K59" s="74" t="s">
        <v>87</v>
      </c>
      <c r="L59" s="76">
        <v>21.09</v>
      </c>
      <c r="M59" s="76">
        <v>5.32</v>
      </c>
      <c r="N59" s="77">
        <v>17697</v>
      </c>
      <c r="O59" s="78">
        <f t="shared" ref="O59:O60" si="47">SUM(N59*M59)</f>
        <v>94148.040000000008</v>
      </c>
      <c r="P59" s="74"/>
      <c r="Q59" s="74"/>
      <c r="R59" s="74"/>
      <c r="S59" s="78"/>
      <c r="T59" s="78"/>
      <c r="U59" s="74">
        <v>2</v>
      </c>
      <c r="V59" s="78"/>
      <c r="W59" s="78"/>
      <c r="X59" s="78"/>
      <c r="Y59" s="118"/>
      <c r="Z59" s="118">
        <f>O59/18*T59</f>
        <v>0</v>
      </c>
      <c r="AA59" s="120">
        <f>O59/18*U59</f>
        <v>10460.893333333333</v>
      </c>
      <c r="AB59" s="120">
        <f>AA59</f>
        <v>10460.893333333333</v>
      </c>
      <c r="AC59" s="120">
        <f>AB59*50%</f>
        <v>5230.4466666666667</v>
      </c>
      <c r="AD59" s="120">
        <f t="shared" ref="AD59:AD60" si="48">(AB59+AC59)*25%</f>
        <v>3922.835</v>
      </c>
      <c r="AE59" s="120">
        <f t="shared" ref="AE59:AE75" si="49">SUM(AB59+AD59+AC59)*10%</f>
        <v>1961.4175</v>
      </c>
      <c r="AF59" s="120">
        <f t="shared" ref="AF59:AF60" si="50">SUM(AB59:AE59)</f>
        <v>21575.592499999999</v>
      </c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53"/>
      <c r="AW59" s="53"/>
      <c r="AX59" s="53"/>
      <c r="AY59" s="53"/>
      <c r="AZ59" s="53"/>
      <c r="BA59" s="45"/>
      <c r="BB59" s="45"/>
      <c r="BC59" s="45"/>
      <c r="BD59" s="125"/>
      <c r="BE59" s="45"/>
      <c r="BF59" s="45"/>
      <c r="BG59" s="45"/>
      <c r="BH59" s="45"/>
      <c r="BI59" s="45"/>
      <c r="BJ59" s="45"/>
      <c r="BK59" s="94"/>
      <c r="BL59" s="120">
        <f t="shared" si="34"/>
        <v>21575.592499999999</v>
      </c>
      <c r="BM59" s="120">
        <f t="shared" si="35"/>
        <v>11114.699166666665</v>
      </c>
      <c r="BN59" s="120">
        <f t="shared" si="39"/>
        <v>10460.893333333333</v>
      </c>
      <c r="BO59" s="120">
        <f t="shared" si="40"/>
        <v>258907.11</v>
      </c>
    </row>
    <row r="60" spans="2:67" ht="15.75" hidden="1" customHeight="1" x14ac:dyDescent="0.25">
      <c r="B60" s="72" t="s">
        <v>76</v>
      </c>
      <c r="C60" s="74" t="s">
        <v>170</v>
      </c>
      <c r="D60" s="72" t="s">
        <v>78</v>
      </c>
      <c r="E60" s="72" t="s">
        <v>79</v>
      </c>
      <c r="F60" s="74">
        <v>26</v>
      </c>
      <c r="G60" s="75">
        <v>42529</v>
      </c>
      <c r="H60" s="75">
        <v>45161</v>
      </c>
      <c r="I60" s="72" t="s">
        <v>80</v>
      </c>
      <c r="J60" s="74" t="s">
        <v>106</v>
      </c>
      <c r="K60" s="74" t="s">
        <v>81</v>
      </c>
      <c r="L60" s="76">
        <v>9.09</v>
      </c>
      <c r="M60" s="82">
        <v>4.79</v>
      </c>
      <c r="N60" s="77">
        <v>17697</v>
      </c>
      <c r="O60" s="78">
        <f t="shared" si="47"/>
        <v>84768.63</v>
      </c>
      <c r="P60" s="74"/>
      <c r="Q60" s="74"/>
      <c r="R60" s="74"/>
      <c r="S60" s="79"/>
      <c r="T60" s="79"/>
      <c r="U60" s="74">
        <v>2</v>
      </c>
      <c r="V60" s="78"/>
      <c r="W60" s="78"/>
      <c r="X60" s="78"/>
      <c r="Y60" s="118"/>
      <c r="Z60" s="118">
        <f t="shared" ref="Z60:Z75" si="51">O60/18*T60</f>
        <v>0</v>
      </c>
      <c r="AA60" s="120">
        <f t="shared" ref="AA60:AA66" si="52">O60/18*U60</f>
        <v>9418.7366666666676</v>
      </c>
      <c r="AB60" s="120">
        <f t="shared" ref="AB60:AB66" si="53">AA60</f>
        <v>9418.7366666666676</v>
      </c>
      <c r="AC60" s="120">
        <f t="shared" ref="AC60:AC75" si="54">AB60*50%</f>
        <v>4709.3683333333338</v>
      </c>
      <c r="AD60" s="120">
        <f t="shared" si="48"/>
        <v>3532.0262500000003</v>
      </c>
      <c r="AE60" s="120">
        <f t="shared" si="49"/>
        <v>1766.0131250000004</v>
      </c>
      <c r="AF60" s="120">
        <f t="shared" si="50"/>
        <v>19426.144375000003</v>
      </c>
      <c r="AG60" s="46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5"/>
      <c r="AW60" s="45"/>
      <c r="AX60" s="45"/>
      <c r="AY60" s="45"/>
      <c r="AZ60" s="47"/>
      <c r="BA60" s="49"/>
      <c r="BB60" s="49"/>
      <c r="BC60" s="45"/>
      <c r="BD60" s="125"/>
      <c r="BE60" s="45"/>
      <c r="BF60" s="45"/>
      <c r="BG60" s="45"/>
      <c r="BH60" s="45"/>
      <c r="BI60" s="45"/>
      <c r="BJ60" s="45"/>
      <c r="BK60" s="94"/>
      <c r="BL60" s="120">
        <f t="shared" si="34"/>
        <v>19426.144375000003</v>
      </c>
      <c r="BM60" s="120">
        <f t="shared" si="35"/>
        <v>10007.407708333336</v>
      </c>
      <c r="BN60" s="120">
        <f t="shared" si="39"/>
        <v>9418.7366666666676</v>
      </c>
      <c r="BO60" s="120">
        <f t="shared" si="40"/>
        <v>233113.73250000004</v>
      </c>
    </row>
    <row r="61" spans="2:67" s="117" customFormat="1" ht="15.75" hidden="1" customHeight="1" x14ac:dyDescent="0.25">
      <c r="B61" s="81" t="s">
        <v>102</v>
      </c>
      <c r="C61" s="114" t="s">
        <v>177</v>
      </c>
      <c r="D61" s="142" t="s">
        <v>104</v>
      </c>
      <c r="E61" s="81" t="s">
        <v>79</v>
      </c>
      <c r="F61" s="114">
        <v>53</v>
      </c>
      <c r="G61" s="143">
        <v>43335</v>
      </c>
      <c r="H61" s="143">
        <v>45161</v>
      </c>
      <c r="I61" s="81" t="s">
        <v>105</v>
      </c>
      <c r="J61" s="81" t="s">
        <v>106</v>
      </c>
      <c r="K61" s="114" t="s">
        <v>81</v>
      </c>
      <c r="L61" s="96">
        <v>14.05</v>
      </c>
      <c r="M61" s="96">
        <v>4.95</v>
      </c>
      <c r="N61" s="144">
        <v>17697</v>
      </c>
      <c r="O61" s="145">
        <f t="shared" ref="O61:O65" si="55">SUM(N61*M61)</f>
        <v>87600.150000000009</v>
      </c>
      <c r="P61" s="100"/>
      <c r="Q61" s="100"/>
      <c r="R61" s="115"/>
      <c r="S61" s="100"/>
      <c r="T61" s="100"/>
      <c r="U61" s="100">
        <v>1</v>
      </c>
      <c r="V61" s="100"/>
      <c r="W61" s="100"/>
      <c r="X61" s="100"/>
      <c r="Y61" s="146"/>
      <c r="Z61" s="146">
        <f t="shared" si="51"/>
        <v>0</v>
      </c>
      <c r="AA61" s="147">
        <f t="shared" si="52"/>
        <v>4866.6750000000002</v>
      </c>
      <c r="AB61" s="147">
        <f t="shared" si="53"/>
        <v>4866.6750000000002</v>
      </c>
      <c r="AC61" s="147">
        <f t="shared" si="54"/>
        <v>2433.3375000000001</v>
      </c>
      <c r="AD61" s="147">
        <f t="shared" si="11"/>
        <v>1825.0031250000002</v>
      </c>
      <c r="AE61" s="147"/>
      <c r="AF61" s="147">
        <f t="shared" si="33"/>
        <v>9125.015625</v>
      </c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0"/>
      <c r="AW61" s="150"/>
      <c r="AX61" s="150"/>
      <c r="AY61" s="150"/>
      <c r="AZ61" s="149"/>
      <c r="BA61" s="153"/>
      <c r="BB61" s="153"/>
      <c r="BC61" s="153">
        <v>1</v>
      </c>
      <c r="BD61" s="125">
        <f>(AB61+AC61+AD61)*30%</f>
        <v>2737.5046874999998</v>
      </c>
      <c r="BE61" s="153"/>
      <c r="BF61" s="153"/>
      <c r="BG61" s="153"/>
      <c r="BH61" s="153"/>
      <c r="BI61" s="153"/>
      <c r="BJ61" s="153"/>
      <c r="BK61" s="152"/>
      <c r="BL61" s="147">
        <f t="shared" si="34"/>
        <v>9125.015625</v>
      </c>
      <c r="BM61" s="147">
        <f t="shared" si="35"/>
        <v>4258.3406250000007</v>
      </c>
      <c r="BN61" s="147">
        <f t="shared" si="39"/>
        <v>4866.6749999999993</v>
      </c>
      <c r="BO61" s="147">
        <f t="shared" si="40"/>
        <v>109500.1875</v>
      </c>
    </row>
    <row r="62" spans="2:67" ht="15.75" hidden="1" customHeight="1" x14ac:dyDescent="0.25">
      <c r="B62" s="72" t="s">
        <v>126</v>
      </c>
      <c r="C62" s="74" t="s">
        <v>168</v>
      </c>
      <c r="D62" s="72" t="s">
        <v>127</v>
      </c>
      <c r="E62" s="72" t="s">
        <v>79</v>
      </c>
      <c r="F62" s="74">
        <v>55</v>
      </c>
      <c r="G62" s="72" t="s">
        <v>128</v>
      </c>
      <c r="H62" s="72" t="s">
        <v>97</v>
      </c>
      <c r="I62" s="72" t="s">
        <v>85</v>
      </c>
      <c r="J62" s="72" t="s">
        <v>86</v>
      </c>
      <c r="K62" s="74" t="s">
        <v>87</v>
      </c>
      <c r="L62" s="76">
        <v>32.03</v>
      </c>
      <c r="M62" s="76">
        <v>5.41</v>
      </c>
      <c r="N62" s="77">
        <v>17697</v>
      </c>
      <c r="O62" s="78">
        <f t="shared" si="55"/>
        <v>95740.77</v>
      </c>
      <c r="P62" s="74"/>
      <c r="Q62" s="74"/>
      <c r="R62" s="74"/>
      <c r="S62" s="79"/>
      <c r="T62" s="79"/>
      <c r="U62" s="74">
        <v>1</v>
      </c>
      <c r="V62" s="78"/>
      <c r="W62" s="78"/>
      <c r="X62" s="78"/>
      <c r="Y62" s="118"/>
      <c r="Z62" s="118">
        <f t="shared" si="51"/>
        <v>0</v>
      </c>
      <c r="AA62" s="120">
        <f t="shared" si="52"/>
        <v>5318.9316666666673</v>
      </c>
      <c r="AB62" s="120">
        <f t="shared" si="53"/>
        <v>5318.9316666666673</v>
      </c>
      <c r="AC62" s="120">
        <f t="shared" si="54"/>
        <v>2659.4658333333336</v>
      </c>
      <c r="AD62" s="120">
        <f t="shared" si="11"/>
        <v>1994.5993750000002</v>
      </c>
      <c r="AE62" s="120">
        <f t="shared" si="49"/>
        <v>997.29968750000012</v>
      </c>
      <c r="AF62" s="120">
        <f t="shared" ref="AF62:AF66" si="56">SUM(AB62:AE62)</f>
        <v>10970.296562500002</v>
      </c>
      <c r="AG62" s="46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53"/>
      <c r="AW62" s="53"/>
      <c r="AX62" s="53"/>
      <c r="AY62" s="53"/>
      <c r="AZ62" s="53"/>
      <c r="BA62" s="49"/>
      <c r="BB62" s="49"/>
      <c r="BC62" s="45"/>
      <c r="BD62" s="79"/>
      <c r="BE62" s="47"/>
      <c r="BF62" s="51"/>
      <c r="BG62" s="47"/>
      <c r="BH62" s="47"/>
      <c r="BI62" s="47"/>
      <c r="BJ62" s="47"/>
      <c r="BK62" s="94"/>
      <c r="BL62" s="120">
        <f t="shared" si="34"/>
        <v>10970.296562500002</v>
      </c>
      <c r="BM62" s="120">
        <f t="shared" si="35"/>
        <v>5651.3648958333333</v>
      </c>
      <c r="BN62" s="120">
        <f t="shared" si="39"/>
        <v>5318.9316666666682</v>
      </c>
      <c r="BO62" s="120">
        <f t="shared" si="40"/>
        <v>131643.55875000003</v>
      </c>
    </row>
    <row r="63" spans="2:67" ht="15.75" hidden="1" customHeight="1" x14ac:dyDescent="0.25">
      <c r="B63" s="72" t="s">
        <v>149</v>
      </c>
      <c r="C63" s="73" t="s">
        <v>205</v>
      </c>
      <c r="D63" s="72" t="s">
        <v>151</v>
      </c>
      <c r="E63" s="72" t="s">
        <v>79</v>
      </c>
      <c r="F63" s="74">
        <v>33</v>
      </c>
      <c r="G63" s="75">
        <v>42529</v>
      </c>
      <c r="H63" s="75">
        <v>44355</v>
      </c>
      <c r="I63" s="72" t="s">
        <v>152</v>
      </c>
      <c r="J63" s="72" t="s">
        <v>235</v>
      </c>
      <c r="K63" s="74" t="s">
        <v>148</v>
      </c>
      <c r="L63" s="76">
        <v>16.010000000000002</v>
      </c>
      <c r="M63" s="76">
        <v>4.99</v>
      </c>
      <c r="N63" s="77">
        <v>17697</v>
      </c>
      <c r="O63" s="78">
        <f t="shared" si="55"/>
        <v>88308.03</v>
      </c>
      <c r="P63" s="74"/>
      <c r="Q63" s="74"/>
      <c r="R63" s="74"/>
      <c r="S63" s="79"/>
      <c r="T63" s="79"/>
      <c r="U63" s="74">
        <v>1</v>
      </c>
      <c r="V63" s="78"/>
      <c r="W63" s="78"/>
      <c r="X63" s="78"/>
      <c r="Y63" s="118"/>
      <c r="Z63" s="118">
        <f t="shared" si="51"/>
        <v>0</v>
      </c>
      <c r="AA63" s="120">
        <f t="shared" si="52"/>
        <v>4906.001666666667</v>
      </c>
      <c r="AB63" s="120">
        <f t="shared" si="53"/>
        <v>4906.001666666667</v>
      </c>
      <c r="AC63" s="120">
        <f t="shared" si="54"/>
        <v>2453.0008333333335</v>
      </c>
      <c r="AD63" s="120">
        <f t="shared" si="11"/>
        <v>1839.7506250000001</v>
      </c>
      <c r="AE63" s="120">
        <f t="shared" si="49"/>
        <v>919.87531250000018</v>
      </c>
      <c r="AF63" s="120">
        <f t="shared" si="56"/>
        <v>10118.628437500001</v>
      </c>
      <c r="AG63" s="46"/>
      <c r="AH63" s="47"/>
      <c r="AI63" s="47"/>
      <c r="AJ63" s="47"/>
      <c r="AK63" s="47"/>
      <c r="AL63" s="47"/>
      <c r="AM63" s="47"/>
      <c r="AN63" s="47"/>
      <c r="AO63" s="47"/>
      <c r="AP63" s="51"/>
      <c r="AQ63" s="47"/>
      <c r="AR63" s="51"/>
      <c r="AS63" s="47"/>
      <c r="AT63" s="51"/>
      <c r="AU63" s="47"/>
      <c r="AV63" s="45"/>
      <c r="AW63" s="45"/>
      <c r="AX63" s="48"/>
      <c r="AY63" s="45"/>
      <c r="AZ63" s="47"/>
      <c r="BA63" s="49"/>
      <c r="BB63" s="49"/>
      <c r="BC63" s="45"/>
      <c r="BD63" s="79"/>
      <c r="BE63" s="47"/>
      <c r="BF63" s="47"/>
      <c r="BG63" s="74"/>
      <c r="BH63" s="74"/>
      <c r="BI63" s="45"/>
      <c r="BJ63" s="45"/>
      <c r="BK63" s="78"/>
      <c r="BL63" s="120">
        <f t="shared" si="34"/>
        <v>10118.628437500001</v>
      </c>
      <c r="BM63" s="120">
        <f t="shared" si="35"/>
        <v>5212.6267708333344</v>
      </c>
      <c r="BN63" s="120">
        <f t="shared" si="39"/>
        <v>4906.001666666667</v>
      </c>
      <c r="BO63" s="120">
        <f t="shared" si="40"/>
        <v>121423.54125000001</v>
      </c>
    </row>
    <row r="64" spans="2:67" ht="15.75" hidden="1" customHeight="1" x14ac:dyDescent="0.25">
      <c r="B64" s="80" t="s">
        <v>94</v>
      </c>
      <c r="C64" s="74" t="s">
        <v>212</v>
      </c>
      <c r="D64" s="72" t="s">
        <v>96</v>
      </c>
      <c r="E64" s="72" t="s">
        <v>79</v>
      </c>
      <c r="F64" s="74">
        <v>56</v>
      </c>
      <c r="G64" s="75">
        <v>43458</v>
      </c>
      <c r="H64" s="72" t="s">
        <v>97</v>
      </c>
      <c r="I64" s="72" t="s">
        <v>98</v>
      </c>
      <c r="J64" s="72" t="s">
        <v>86</v>
      </c>
      <c r="K64" s="74" t="s">
        <v>87</v>
      </c>
      <c r="L64" s="76">
        <v>22.09</v>
      </c>
      <c r="M64" s="76">
        <v>5.32</v>
      </c>
      <c r="N64" s="77">
        <v>17697</v>
      </c>
      <c r="O64" s="78">
        <f t="shared" ref="O64" si="57">SUM(N64*M64)</f>
        <v>94148.040000000008</v>
      </c>
      <c r="P64" s="74"/>
      <c r="Q64" s="74"/>
      <c r="R64" s="74"/>
      <c r="S64" s="79"/>
      <c r="T64" s="79"/>
      <c r="U64" s="74">
        <v>2</v>
      </c>
      <c r="V64" s="78"/>
      <c r="W64" s="78"/>
      <c r="X64" s="78"/>
      <c r="Y64" s="118"/>
      <c r="Z64" s="118">
        <f t="shared" si="51"/>
        <v>0</v>
      </c>
      <c r="AA64" s="120">
        <f t="shared" si="52"/>
        <v>10460.893333333333</v>
      </c>
      <c r="AB64" s="120">
        <f t="shared" si="53"/>
        <v>10460.893333333333</v>
      </c>
      <c r="AC64" s="120">
        <f t="shared" si="54"/>
        <v>5230.4466666666667</v>
      </c>
      <c r="AD64" s="120">
        <f t="shared" si="11"/>
        <v>3922.835</v>
      </c>
      <c r="AE64" s="120">
        <f t="shared" si="49"/>
        <v>1961.4175</v>
      </c>
      <c r="AF64" s="120">
        <f t="shared" si="56"/>
        <v>21575.592499999999</v>
      </c>
      <c r="AG64" s="46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5"/>
      <c r="AW64" s="45"/>
      <c r="AX64" s="48"/>
      <c r="AY64" s="45"/>
      <c r="AZ64" s="47"/>
      <c r="BA64" s="49"/>
      <c r="BB64" s="49"/>
      <c r="BC64" s="45"/>
      <c r="BD64" s="79"/>
      <c r="BE64" s="47"/>
      <c r="BF64" s="47"/>
      <c r="BG64" s="79"/>
      <c r="BH64" s="79"/>
      <c r="BI64" s="47"/>
      <c r="BJ64" s="47"/>
      <c r="BK64" s="78"/>
      <c r="BL64" s="120">
        <f t="shared" si="34"/>
        <v>21575.592499999999</v>
      </c>
      <c r="BM64" s="120">
        <f t="shared" si="35"/>
        <v>11114.699166666665</v>
      </c>
      <c r="BN64" s="120">
        <f t="shared" si="39"/>
        <v>10460.893333333333</v>
      </c>
      <c r="BO64" s="120">
        <f t="shared" si="40"/>
        <v>258907.11</v>
      </c>
    </row>
    <row r="65" spans="1:134" ht="15.75" hidden="1" customHeight="1" x14ac:dyDescent="0.25">
      <c r="B65" s="72" t="s">
        <v>107</v>
      </c>
      <c r="C65" s="74" t="s">
        <v>232</v>
      </c>
      <c r="D65" s="85" t="s">
        <v>109</v>
      </c>
      <c r="E65" s="72" t="s">
        <v>79</v>
      </c>
      <c r="F65" s="74">
        <v>21</v>
      </c>
      <c r="G65" s="75"/>
      <c r="H65" s="72"/>
      <c r="I65" s="72" t="s">
        <v>110</v>
      </c>
      <c r="J65" s="72" t="s">
        <v>106</v>
      </c>
      <c r="K65" s="74" t="s">
        <v>87</v>
      </c>
      <c r="L65" s="76">
        <v>21.08</v>
      </c>
      <c r="M65" s="82">
        <v>5.32</v>
      </c>
      <c r="N65" s="77">
        <v>17697</v>
      </c>
      <c r="O65" s="78">
        <f t="shared" si="55"/>
        <v>94148.040000000008</v>
      </c>
      <c r="P65" s="74"/>
      <c r="Q65" s="88"/>
      <c r="R65" s="74"/>
      <c r="S65" s="79"/>
      <c r="T65" s="79"/>
      <c r="U65" s="74">
        <v>2</v>
      </c>
      <c r="V65" s="78"/>
      <c r="W65" s="78"/>
      <c r="X65" s="78"/>
      <c r="Y65" s="118"/>
      <c r="Z65" s="118">
        <f t="shared" si="51"/>
        <v>0</v>
      </c>
      <c r="AA65" s="120">
        <f t="shared" si="52"/>
        <v>10460.893333333333</v>
      </c>
      <c r="AB65" s="120">
        <f t="shared" si="53"/>
        <v>10460.893333333333</v>
      </c>
      <c r="AC65" s="120">
        <f t="shared" si="54"/>
        <v>5230.4466666666667</v>
      </c>
      <c r="AD65" s="120">
        <f t="shared" si="11"/>
        <v>3922.835</v>
      </c>
      <c r="AE65" s="120">
        <f t="shared" si="49"/>
        <v>1961.4175</v>
      </c>
      <c r="AF65" s="120">
        <f t="shared" ref="AF65" si="58">SUM(AB65:AE65)</f>
        <v>21575.592499999999</v>
      </c>
      <c r="AG65" s="46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5"/>
      <c r="AW65" s="45"/>
      <c r="AX65" s="50"/>
      <c r="AY65" s="45"/>
      <c r="AZ65" s="47"/>
      <c r="BA65" s="49"/>
      <c r="BB65" s="49"/>
      <c r="BC65" s="45"/>
      <c r="BD65" s="79"/>
      <c r="BE65" s="47"/>
      <c r="BF65" s="47"/>
      <c r="BG65" s="45"/>
      <c r="BH65" s="45"/>
      <c r="BI65" s="45"/>
      <c r="BJ65" s="45"/>
      <c r="BK65" s="94"/>
      <c r="BL65" s="120">
        <f t="shared" si="34"/>
        <v>21575.592499999999</v>
      </c>
      <c r="BM65" s="120">
        <f t="shared" si="35"/>
        <v>11114.699166666665</v>
      </c>
      <c r="BN65" s="120">
        <f t="shared" si="39"/>
        <v>10460.893333333333</v>
      </c>
      <c r="BO65" s="120">
        <f t="shared" si="40"/>
        <v>258907.11</v>
      </c>
    </row>
    <row r="66" spans="1:134" ht="15.75" hidden="1" customHeight="1" x14ac:dyDescent="0.25">
      <c r="B66" s="72" t="s">
        <v>149</v>
      </c>
      <c r="C66" s="73" t="s">
        <v>218</v>
      </c>
      <c r="D66" s="72" t="s">
        <v>151</v>
      </c>
      <c r="E66" s="72" t="s">
        <v>79</v>
      </c>
      <c r="F66" s="74">
        <v>33</v>
      </c>
      <c r="G66" s="75">
        <v>42529</v>
      </c>
      <c r="H66" s="75">
        <v>44355</v>
      </c>
      <c r="I66" s="72" t="s">
        <v>152</v>
      </c>
      <c r="J66" s="72" t="s">
        <v>235</v>
      </c>
      <c r="K66" s="74" t="s">
        <v>148</v>
      </c>
      <c r="L66" s="76">
        <v>16.010000000000002</v>
      </c>
      <c r="M66" s="76">
        <v>4.99</v>
      </c>
      <c r="N66" s="77">
        <v>17697</v>
      </c>
      <c r="O66" s="78">
        <f t="shared" ref="O66" si="59">SUM(N66*M66)</f>
        <v>88308.03</v>
      </c>
      <c r="P66" s="74"/>
      <c r="Q66" s="74"/>
      <c r="R66" s="74"/>
      <c r="S66" s="78"/>
      <c r="T66" s="78"/>
      <c r="U66" s="74">
        <v>1</v>
      </c>
      <c r="V66" s="78"/>
      <c r="W66" s="78"/>
      <c r="X66" s="78"/>
      <c r="Y66" s="118"/>
      <c r="Z66" s="118">
        <f t="shared" si="51"/>
        <v>0</v>
      </c>
      <c r="AA66" s="120">
        <f t="shared" si="52"/>
        <v>4906.001666666667</v>
      </c>
      <c r="AB66" s="120">
        <f t="shared" si="53"/>
        <v>4906.001666666667</v>
      </c>
      <c r="AC66" s="120">
        <f t="shared" si="54"/>
        <v>2453.0008333333335</v>
      </c>
      <c r="AD66" s="120">
        <f t="shared" si="11"/>
        <v>1839.7506250000001</v>
      </c>
      <c r="AE66" s="120">
        <f t="shared" si="49"/>
        <v>919.87531250000018</v>
      </c>
      <c r="AF66" s="120">
        <f t="shared" si="56"/>
        <v>10118.628437500001</v>
      </c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5"/>
      <c r="AW66" s="45"/>
      <c r="AX66" s="45"/>
      <c r="AY66" s="45"/>
      <c r="AZ66" s="47"/>
      <c r="BA66" s="45"/>
      <c r="BB66" s="45"/>
      <c r="BC66" s="45"/>
      <c r="BD66" s="74"/>
      <c r="BE66" s="45"/>
      <c r="BF66" s="45"/>
      <c r="BG66" s="45"/>
      <c r="BH66" s="45"/>
      <c r="BI66" s="45"/>
      <c r="BJ66" s="45"/>
      <c r="BK66" s="94"/>
      <c r="BL66" s="120">
        <f t="shared" si="34"/>
        <v>10118.628437500001</v>
      </c>
      <c r="BM66" s="120">
        <f t="shared" si="35"/>
        <v>5212.6267708333344</v>
      </c>
      <c r="BN66" s="120">
        <f t="shared" si="39"/>
        <v>4906.001666666667</v>
      </c>
      <c r="BO66" s="120">
        <f t="shared" si="40"/>
        <v>121423.54125000001</v>
      </c>
    </row>
    <row r="67" spans="1:134" ht="15.75" hidden="1" customHeight="1" x14ac:dyDescent="0.25">
      <c r="B67" s="83" t="s">
        <v>178</v>
      </c>
      <c r="C67" s="74" t="s">
        <v>179</v>
      </c>
      <c r="D67" s="72" t="s">
        <v>125</v>
      </c>
      <c r="E67" s="72" t="s">
        <v>79</v>
      </c>
      <c r="F67" s="74">
        <v>48</v>
      </c>
      <c r="G67" s="75">
        <v>43335</v>
      </c>
      <c r="H67" s="75">
        <v>45161</v>
      </c>
      <c r="I67" s="72" t="s">
        <v>101</v>
      </c>
      <c r="J67" s="72" t="s">
        <v>92</v>
      </c>
      <c r="K67" s="74" t="s">
        <v>87</v>
      </c>
      <c r="L67" s="84">
        <v>17.05</v>
      </c>
      <c r="M67" s="76">
        <v>5.24</v>
      </c>
      <c r="N67" s="77">
        <v>17697</v>
      </c>
      <c r="O67" s="78">
        <f t="shared" ref="O67:O75" si="60">SUM(N67*M67)</f>
        <v>92732.28</v>
      </c>
      <c r="P67" s="74"/>
      <c r="Q67" s="74"/>
      <c r="R67" s="74"/>
      <c r="S67" s="78">
        <v>1</v>
      </c>
      <c r="T67" s="78"/>
      <c r="U67" s="74"/>
      <c r="V67" s="78"/>
      <c r="W67" s="78"/>
      <c r="X67" s="78"/>
      <c r="Y67" s="118">
        <f>O67/18*S67</f>
        <v>5151.7933333333331</v>
      </c>
      <c r="Z67" s="118">
        <f t="shared" si="51"/>
        <v>0</v>
      </c>
      <c r="AA67" s="78"/>
      <c r="AB67" s="120">
        <f>Y67</f>
        <v>5151.7933333333331</v>
      </c>
      <c r="AC67" s="120">
        <f t="shared" si="54"/>
        <v>2575.8966666666665</v>
      </c>
      <c r="AD67" s="120">
        <f t="shared" si="11"/>
        <v>1931.9224999999999</v>
      </c>
      <c r="AE67" s="120">
        <f t="shared" si="49"/>
        <v>965.96124999999995</v>
      </c>
      <c r="AF67" s="120">
        <f t="shared" si="33"/>
        <v>10625.57375</v>
      </c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5"/>
      <c r="AW67" s="45"/>
      <c r="AX67" s="45"/>
      <c r="AY67" s="45"/>
      <c r="AZ67" s="47"/>
      <c r="BA67" s="45"/>
      <c r="BB67" s="45"/>
      <c r="BC67" s="45"/>
      <c r="BD67" s="74"/>
      <c r="BE67" s="45"/>
      <c r="BF67" s="45"/>
      <c r="BG67" s="45"/>
      <c r="BH67" s="45"/>
      <c r="BI67" s="45"/>
      <c r="BJ67" s="45"/>
      <c r="BK67" s="94"/>
      <c r="BL67" s="120">
        <f t="shared" si="34"/>
        <v>10625.57375</v>
      </c>
      <c r="BM67" s="120">
        <f t="shared" si="35"/>
        <v>5473.7804166666665</v>
      </c>
      <c r="BN67" s="120">
        <f t="shared" si="39"/>
        <v>5151.7933333333331</v>
      </c>
      <c r="BO67" s="120">
        <f t="shared" si="40"/>
        <v>127506.88499999999</v>
      </c>
    </row>
    <row r="68" spans="1:134" ht="15.75" hidden="1" customHeight="1" x14ac:dyDescent="0.25">
      <c r="B68" s="83" t="s">
        <v>201</v>
      </c>
      <c r="C68" s="74" t="s">
        <v>179</v>
      </c>
      <c r="D68" s="72" t="s">
        <v>199</v>
      </c>
      <c r="E68" s="72" t="s">
        <v>79</v>
      </c>
      <c r="F68" s="74">
        <v>14</v>
      </c>
      <c r="G68" s="75">
        <v>42823</v>
      </c>
      <c r="H68" s="75">
        <v>44740</v>
      </c>
      <c r="I68" s="72" t="s">
        <v>101</v>
      </c>
      <c r="J68" s="72" t="s">
        <v>156</v>
      </c>
      <c r="K68" s="74" t="s">
        <v>157</v>
      </c>
      <c r="L68" s="76">
        <v>9.01</v>
      </c>
      <c r="M68" s="76">
        <v>4.33</v>
      </c>
      <c r="N68" s="77">
        <v>17697</v>
      </c>
      <c r="O68" s="78">
        <f t="shared" si="60"/>
        <v>76628.009999999995</v>
      </c>
      <c r="P68" s="79"/>
      <c r="Q68" s="74"/>
      <c r="R68" s="74"/>
      <c r="S68" s="79">
        <v>1</v>
      </c>
      <c r="T68" s="79"/>
      <c r="U68" s="74"/>
      <c r="V68" s="78"/>
      <c r="W68" s="78"/>
      <c r="X68" s="78"/>
      <c r="Y68" s="118">
        <f t="shared" ref="Y68:Y75" si="61">O68/18*S68</f>
        <v>4257.1116666666667</v>
      </c>
      <c r="Z68" s="118">
        <f t="shared" si="51"/>
        <v>0</v>
      </c>
      <c r="AA68" s="79"/>
      <c r="AB68" s="120">
        <f t="shared" ref="AB68:AB75" si="62">Y68</f>
        <v>4257.1116666666667</v>
      </c>
      <c r="AC68" s="120">
        <f t="shared" si="54"/>
        <v>2128.5558333333333</v>
      </c>
      <c r="AD68" s="120">
        <f t="shared" si="11"/>
        <v>1596.4168749999999</v>
      </c>
      <c r="AE68" s="120">
        <f t="shared" si="49"/>
        <v>798.20843750000006</v>
      </c>
      <c r="AF68" s="120">
        <f t="shared" si="33"/>
        <v>8780.2928124999999</v>
      </c>
      <c r="AG68" s="46"/>
      <c r="AH68" s="50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5"/>
      <c r="AW68" s="45"/>
      <c r="AX68" s="48"/>
      <c r="AY68" s="45"/>
      <c r="AZ68" s="47"/>
      <c r="BA68" s="49"/>
      <c r="BB68" s="49"/>
      <c r="BC68" s="45"/>
      <c r="BD68" s="79"/>
      <c r="BE68" s="47"/>
      <c r="BF68" s="47"/>
      <c r="BG68" s="47"/>
      <c r="BH68" s="47"/>
      <c r="BI68" s="47"/>
      <c r="BJ68" s="47"/>
      <c r="BK68" s="94"/>
      <c r="BL68" s="120">
        <f t="shared" si="34"/>
        <v>8780.2928124999999</v>
      </c>
      <c r="BM68" s="120">
        <f t="shared" si="35"/>
        <v>4523.1811458333332</v>
      </c>
      <c r="BN68" s="120">
        <f t="shared" si="39"/>
        <v>4257.1116666666667</v>
      </c>
      <c r="BO68" s="120">
        <f t="shared" si="40"/>
        <v>105363.51375</v>
      </c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</row>
    <row r="69" spans="1:134" ht="15.75" hidden="1" customHeight="1" x14ac:dyDescent="0.25">
      <c r="B69" s="83" t="s">
        <v>201</v>
      </c>
      <c r="C69" s="74" t="s">
        <v>200</v>
      </c>
      <c r="D69" s="72" t="s">
        <v>199</v>
      </c>
      <c r="E69" s="72" t="s">
        <v>79</v>
      </c>
      <c r="F69" s="74">
        <v>14</v>
      </c>
      <c r="G69" s="75">
        <v>42823</v>
      </c>
      <c r="H69" s="75">
        <v>44740</v>
      </c>
      <c r="I69" s="72" t="s">
        <v>101</v>
      </c>
      <c r="J69" s="72" t="s">
        <v>156</v>
      </c>
      <c r="K69" s="74" t="s">
        <v>157</v>
      </c>
      <c r="L69" s="76">
        <v>9.01</v>
      </c>
      <c r="M69" s="76">
        <v>4.33</v>
      </c>
      <c r="N69" s="77">
        <v>17697</v>
      </c>
      <c r="O69" s="78">
        <f t="shared" si="60"/>
        <v>76628.009999999995</v>
      </c>
      <c r="P69" s="79"/>
      <c r="Q69" s="74"/>
      <c r="R69" s="74"/>
      <c r="S69" s="79">
        <v>1</v>
      </c>
      <c r="T69" s="79"/>
      <c r="U69" s="74"/>
      <c r="V69" s="78"/>
      <c r="W69" s="78"/>
      <c r="X69" s="78"/>
      <c r="Y69" s="118">
        <f t="shared" si="61"/>
        <v>4257.1116666666667</v>
      </c>
      <c r="Z69" s="118">
        <f t="shared" si="51"/>
        <v>0</v>
      </c>
      <c r="AA69" s="79"/>
      <c r="AB69" s="120">
        <f t="shared" si="62"/>
        <v>4257.1116666666667</v>
      </c>
      <c r="AC69" s="120">
        <f t="shared" si="54"/>
        <v>2128.5558333333333</v>
      </c>
      <c r="AD69" s="120">
        <f t="shared" si="11"/>
        <v>1596.4168749999999</v>
      </c>
      <c r="AE69" s="120">
        <f t="shared" si="49"/>
        <v>798.20843750000006</v>
      </c>
      <c r="AF69" s="120">
        <f t="shared" si="33"/>
        <v>8780.2928124999999</v>
      </c>
      <c r="AG69" s="46"/>
      <c r="AH69" s="50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5"/>
      <c r="AW69" s="52"/>
      <c r="AX69" s="45"/>
      <c r="AY69" s="45"/>
      <c r="AZ69" s="47"/>
      <c r="BA69" s="49"/>
      <c r="BB69" s="49"/>
      <c r="BC69" s="45"/>
      <c r="BD69" s="79"/>
      <c r="BE69" s="47"/>
      <c r="BF69" s="47"/>
      <c r="BG69" s="47"/>
      <c r="BH69" s="47"/>
      <c r="BI69" s="47"/>
      <c r="BJ69" s="47"/>
      <c r="BK69" s="94"/>
      <c r="BL69" s="120">
        <f t="shared" si="34"/>
        <v>8780.2928124999999</v>
      </c>
      <c r="BM69" s="120">
        <f t="shared" si="35"/>
        <v>4523.1811458333332</v>
      </c>
      <c r="BN69" s="120">
        <f t="shared" si="39"/>
        <v>4257.1116666666667</v>
      </c>
      <c r="BO69" s="120">
        <f t="shared" si="40"/>
        <v>105363.51375</v>
      </c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</row>
    <row r="70" spans="1:134" ht="15.75" hidden="1" customHeight="1" x14ac:dyDescent="0.25">
      <c r="B70" s="72" t="s">
        <v>115</v>
      </c>
      <c r="C70" s="74" t="s">
        <v>179</v>
      </c>
      <c r="D70" s="72" t="s">
        <v>117</v>
      </c>
      <c r="E70" s="72" t="s">
        <v>118</v>
      </c>
      <c r="F70" s="74">
        <v>32</v>
      </c>
      <c r="G70" s="75">
        <v>42529</v>
      </c>
      <c r="H70" s="75">
        <v>44355</v>
      </c>
      <c r="I70" s="72" t="s">
        <v>119</v>
      </c>
      <c r="J70" s="72" t="s">
        <v>106</v>
      </c>
      <c r="K70" s="74" t="s">
        <v>239</v>
      </c>
      <c r="L70" s="76">
        <v>37.01</v>
      </c>
      <c r="M70" s="76">
        <v>4.29</v>
      </c>
      <c r="N70" s="77">
        <v>17697</v>
      </c>
      <c r="O70" s="78">
        <f t="shared" si="60"/>
        <v>75920.13</v>
      </c>
      <c r="P70" s="74"/>
      <c r="Q70" s="88"/>
      <c r="R70" s="74"/>
      <c r="S70" s="78"/>
      <c r="T70" s="78">
        <v>2</v>
      </c>
      <c r="U70" s="74"/>
      <c r="V70" s="78"/>
      <c r="W70" s="78"/>
      <c r="X70" s="78"/>
      <c r="Y70" s="118">
        <f t="shared" si="61"/>
        <v>0</v>
      </c>
      <c r="Z70" s="118">
        <f t="shared" si="51"/>
        <v>8435.57</v>
      </c>
      <c r="AA70" s="78"/>
      <c r="AB70" s="120">
        <f>Z70</f>
        <v>8435.57</v>
      </c>
      <c r="AC70" s="120">
        <f t="shared" si="54"/>
        <v>4217.7849999999999</v>
      </c>
      <c r="AD70" s="120">
        <f t="shared" si="11"/>
        <v>3163.3387499999999</v>
      </c>
      <c r="AE70" s="120">
        <f t="shared" si="49"/>
        <v>1581.6693749999999</v>
      </c>
      <c r="AF70" s="120">
        <f t="shared" si="33"/>
        <v>17398.363125</v>
      </c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5"/>
      <c r="AW70" s="52"/>
      <c r="AX70" s="45"/>
      <c r="AY70" s="45"/>
      <c r="AZ70" s="47"/>
      <c r="BA70" s="45"/>
      <c r="BB70" s="45"/>
      <c r="BC70" s="45"/>
      <c r="BD70" s="74"/>
      <c r="BE70" s="45"/>
      <c r="BF70" s="45"/>
      <c r="BG70" s="45"/>
      <c r="BH70" s="45"/>
      <c r="BI70" s="45"/>
      <c r="BJ70" s="45"/>
      <c r="BK70" s="94"/>
      <c r="BL70" s="120">
        <f t="shared" si="34"/>
        <v>17398.363125</v>
      </c>
      <c r="BM70" s="120">
        <f t="shared" si="35"/>
        <v>8962.7931250000001</v>
      </c>
      <c r="BN70" s="120">
        <f t="shared" si="39"/>
        <v>8435.57</v>
      </c>
      <c r="BO70" s="120">
        <f t="shared" si="40"/>
        <v>208780.35749999998</v>
      </c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</row>
    <row r="71" spans="1:134" s="110" customFormat="1" ht="15.75" hidden="1" customHeight="1" x14ac:dyDescent="0.25">
      <c r="A71" s="13"/>
      <c r="B71" s="83" t="s">
        <v>99</v>
      </c>
      <c r="C71" s="74" t="s">
        <v>200</v>
      </c>
      <c r="D71" s="163" t="s">
        <v>100</v>
      </c>
      <c r="E71" s="72" t="s">
        <v>79</v>
      </c>
      <c r="F71" s="74">
        <v>48</v>
      </c>
      <c r="G71" s="75">
        <v>43335</v>
      </c>
      <c r="H71" s="75">
        <v>45161</v>
      </c>
      <c r="I71" s="72" t="s">
        <v>101</v>
      </c>
      <c r="J71" s="72" t="s">
        <v>92</v>
      </c>
      <c r="K71" s="74" t="s">
        <v>87</v>
      </c>
      <c r="L71" s="84">
        <v>17.05</v>
      </c>
      <c r="M71" s="76">
        <v>5.24</v>
      </c>
      <c r="N71" s="77">
        <v>17697</v>
      </c>
      <c r="O71" s="78">
        <f t="shared" si="60"/>
        <v>92732.28</v>
      </c>
      <c r="P71" s="74"/>
      <c r="Q71" s="74"/>
      <c r="R71" s="74"/>
      <c r="S71" s="79">
        <v>1</v>
      </c>
      <c r="T71" s="79"/>
      <c r="U71" s="74"/>
      <c r="V71" s="78"/>
      <c r="W71" s="78"/>
      <c r="X71" s="78"/>
      <c r="Y71" s="121">
        <f t="shared" si="61"/>
        <v>5151.7933333333331</v>
      </c>
      <c r="Z71" s="121">
        <f t="shared" si="51"/>
        <v>0</v>
      </c>
      <c r="AA71" s="79"/>
      <c r="AB71" s="120">
        <f t="shared" si="62"/>
        <v>5151.7933333333331</v>
      </c>
      <c r="AC71" s="120">
        <f t="shared" si="54"/>
        <v>2575.8966666666665</v>
      </c>
      <c r="AD71" s="120">
        <f t="shared" si="11"/>
        <v>1931.9224999999999</v>
      </c>
      <c r="AE71" s="120">
        <f t="shared" si="49"/>
        <v>965.96124999999995</v>
      </c>
      <c r="AF71" s="120">
        <f t="shared" ref="AF71" si="63">SUM(AB71:AE71)</f>
        <v>10625.57375</v>
      </c>
      <c r="AG71" s="46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5"/>
      <c r="AW71" s="45"/>
      <c r="AX71" s="45"/>
      <c r="AY71" s="45"/>
      <c r="AZ71" s="47"/>
      <c r="BA71" s="49"/>
      <c r="BB71" s="49"/>
      <c r="BC71" s="45"/>
      <c r="BD71" s="79"/>
      <c r="BE71" s="47"/>
      <c r="BF71" s="51"/>
      <c r="BG71" s="47"/>
      <c r="BH71" s="47"/>
      <c r="BI71" s="47"/>
      <c r="BJ71" s="47"/>
      <c r="BK71" s="94"/>
      <c r="BL71" s="120">
        <f t="shared" si="34"/>
        <v>10625.57375</v>
      </c>
      <c r="BM71" s="120">
        <f t="shared" si="35"/>
        <v>5473.7804166666665</v>
      </c>
      <c r="BN71" s="120">
        <f t="shared" si="39"/>
        <v>5151.7933333333331</v>
      </c>
      <c r="BO71" s="120">
        <f t="shared" si="40"/>
        <v>127506.88499999999</v>
      </c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</row>
    <row r="72" spans="1:134" ht="15.75" hidden="1" customHeight="1" x14ac:dyDescent="0.25">
      <c r="A72" s="13"/>
      <c r="B72" s="83" t="s">
        <v>124</v>
      </c>
      <c r="C72" s="74" t="s">
        <v>179</v>
      </c>
      <c r="D72" s="163" t="s">
        <v>125</v>
      </c>
      <c r="E72" s="72" t="s">
        <v>79</v>
      </c>
      <c r="F72" s="74">
        <v>51</v>
      </c>
      <c r="G72" s="75">
        <v>43335</v>
      </c>
      <c r="H72" s="75">
        <v>45161</v>
      </c>
      <c r="I72" s="72" t="s">
        <v>101</v>
      </c>
      <c r="J72" s="72" t="s">
        <v>92</v>
      </c>
      <c r="K72" s="74" t="s">
        <v>87</v>
      </c>
      <c r="L72" s="84">
        <v>29.11</v>
      </c>
      <c r="M72" s="76">
        <v>5.41</v>
      </c>
      <c r="N72" s="77">
        <v>17697</v>
      </c>
      <c r="O72" s="78">
        <f t="shared" si="60"/>
        <v>95740.77</v>
      </c>
      <c r="P72" s="74"/>
      <c r="Q72" s="74"/>
      <c r="R72" s="74"/>
      <c r="S72" s="79">
        <v>1</v>
      </c>
      <c r="T72" s="78"/>
      <c r="U72" s="74"/>
      <c r="V72" s="78"/>
      <c r="W72" s="78"/>
      <c r="X72" s="78"/>
      <c r="Y72" s="121">
        <f t="shared" si="61"/>
        <v>5318.9316666666673</v>
      </c>
      <c r="Z72" s="121">
        <f t="shared" si="51"/>
        <v>0</v>
      </c>
      <c r="AA72" s="79"/>
      <c r="AB72" s="120">
        <f t="shared" si="62"/>
        <v>5318.9316666666673</v>
      </c>
      <c r="AC72" s="120">
        <f t="shared" si="54"/>
        <v>2659.4658333333336</v>
      </c>
      <c r="AD72" s="120">
        <f t="shared" si="11"/>
        <v>1994.5993750000002</v>
      </c>
      <c r="AE72" s="120">
        <f t="shared" si="49"/>
        <v>997.29968750000012</v>
      </c>
      <c r="AF72" s="120">
        <f t="shared" si="33"/>
        <v>10970.296562500002</v>
      </c>
      <c r="AG72" s="46"/>
      <c r="AH72" s="50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51"/>
      <c r="AW72" s="50"/>
      <c r="AX72" s="48"/>
      <c r="AY72" s="45"/>
      <c r="AZ72" s="47"/>
      <c r="BA72" s="49"/>
      <c r="BB72" s="49"/>
      <c r="BC72" s="45"/>
      <c r="BD72" s="79"/>
      <c r="BE72" s="47"/>
      <c r="BF72" s="47"/>
      <c r="BG72" s="47"/>
      <c r="BH72" s="47"/>
      <c r="BI72" s="47"/>
      <c r="BJ72" s="47"/>
      <c r="BK72" s="94"/>
      <c r="BL72" s="120">
        <f t="shared" si="34"/>
        <v>10970.296562500002</v>
      </c>
      <c r="BM72" s="120">
        <f t="shared" si="35"/>
        <v>5651.3648958333333</v>
      </c>
      <c r="BN72" s="120">
        <f t="shared" si="39"/>
        <v>5318.9316666666682</v>
      </c>
      <c r="BO72" s="120">
        <f t="shared" si="40"/>
        <v>131643.55875000003</v>
      </c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</row>
    <row r="73" spans="1:134" ht="15.75" hidden="1" customHeight="1" x14ac:dyDescent="0.25">
      <c r="A73" s="13"/>
      <c r="B73" s="72" t="s">
        <v>129</v>
      </c>
      <c r="C73" s="74" t="s">
        <v>200</v>
      </c>
      <c r="D73" s="72" t="s">
        <v>131</v>
      </c>
      <c r="E73" s="72" t="s">
        <v>79</v>
      </c>
      <c r="F73" s="74">
        <v>19</v>
      </c>
      <c r="G73" s="72"/>
      <c r="H73" s="72"/>
      <c r="I73" s="72" t="s">
        <v>101</v>
      </c>
      <c r="J73" s="72" t="s">
        <v>106</v>
      </c>
      <c r="K73" s="74" t="s">
        <v>81</v>
      </c>
      <c r="L73" s="76">
        <v>14.09</v>
      </c>
      <c r="M73" s="76">
        <v>4.95</v>
      </c>
      <c r="N73" s="77">
        <v>17697</v>
      </c>
      <c r="O73" s="78">
        <f t="shared" si="60"/>
        <v>87600.150000000009</v>
      </c>
      <c r="P73" s="74"/>
      <c r="Q73" s="74"/>
      <c r="R73" s="74"/>
      <c r="S73" s="79">
        <v>1</v>
      </c>
      <c r="T73" s="79"/>
      <c r="U73" s="74"/>
      <c r="V73" s="78"/>
      <c r="W73" s="78"/>
      <c r="X73" s="78"/>
      <c r="Y73" s="121">
        <f t="shared" si="61"/>
        <v>4866.6750000000002</v>
      </c>
      <c r="Z73" s="121">
        <f t="shared" si="51"/>
        <v>0</v>
      </c>
      <c r="AA73" s="79"/>
      <c r="AB73" s="120">
        <f t="shared" si="62"/>
        <v>4866.6750000000002</v>
      </c>
      <c r="AC73" s="120">
        <f t="shared" si="54"/>
        <v>2433.3375000000001</v>
      </c>
      <c r="AD73" s="120">
        <f t="shared" si="11"/>
        <v>1825.0031250000002</v>
      </c>
      <c r="AE73" s="120">
        <f t="shared" si="49"/>
        <v>912.50156250000009</v>
      </c>
      <c r="AF73" s="120">
        <f t="shared" ref="AF73" si="64">SUM(AB73:AE73)</f>
        <v>10037.5171875</v>
      </c>
      <c r="AG73" s="46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5"/>
      <c r="AW73" s="45"/>
      <c r="AX73" s="48"/>
      <c r="AY73" s="45"/>
      <c r="AZ73" s="47"/>
      <c r="BA73" s="49"/>
      <c r="BB73" s="49"/>
      <c r="BC73" s="45"/>
      <c r="BD73" s="79"/>
      <c r="BE73" s="47"/>
      <c r="BF73" s="47"/>
      <c r="BG73" s="79"/>
      <c r="BH73" s="79"/>
      <c r="BI73" s="47"/>
      <c r="BJ73" s="47"/>
      <c r="BK73" s="78"/>
      <c r="BL73" s="120">
        <f t="shared" si="34"/>
        <v>10037.5171875</v>
      </c>
      <c r="BM73" s="120">
        <f t="shared" si="35"/>
        <v>5170.8421875000004</v>
      </c>
      <c r="BN73" s="120">
        <f t="shared" si="39"/>
        <v>4866.6749999999993</v>
      </c>
      <c r="BO73" s="120">
        <f t="shared" si="40"/>
        <v>120450.20624999999</v>
      </c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</row>
    <row r="74" spans="1:134" ht="15.75" hidden="1" customHeight="1" x14ac:dyDescent="0.25">
      <c r="A74" s="13"/>
      <c r="B74" s="72" t="s">
        <v>180</v>
      </c>
      <c r="C74" s="74" t="s">
        <v>181</v>
      </c>
      <c r="D74" s="72" t="s">
        <v>194</v>
      </c>
      <c r="E74" s="72" t="s">
        <v>79</v>
      </c>
      <c r="F74" s="74">
        <v>30</v>
      </c>
      <c r="G74" s="72" t="s">
        <v>136</v>
      </c>
      <c r="H74" s="72" t="s">
        <v>137</v>
      </c>
      <c r="I74" s="72" t="s">
        <v>138</v>
      </c>
      <c r="J74" s="72" t="s">
        <v>106</v>
      </c>
      <c r="K74" s="74" t="s">
        <v>81</v>
      </c>
      <c r="L74" s="76">
        <v>32.049999999999997</v>
      </c>
      <c r="M74" s="76">
        <v>5.2</v>
      </c>
      <c r="N74" s="77">
        <v>17697</v>
      </c>
      <c r="O74" s="78">
        <f t="shared" si="60"/>
        <v>92024.400000000009</v>
      </c>
      <c r="P74" s="74"/>
      <c r="Q74" s="79"/>
      <c r="R74" s="74"/>
      <c r="S74" s="101"/>
      <c r="T74" s="78">
        <v>3</v>
      </c>
      <c r="U74" s="74"/>
      <c r="V74" s="78"/>
      <c r="W74" s="78"/>
      <c r="X74" s="78"/>
      <c r="Y74" s="121">
        <f t="shared" si="61"/>
        <v>0</v>
      </c>
      <c r="Z74" s="121">
        <f t="shared" si="51"/>
        <v>15337.400000000001</v>
      </c>
      <c r="AA74" s="78"/>
      <c r="AB74" s="120">
        <f>Z74</f>
        <v>15337.400000000001</v>
      </c>
      <c r="AC74" s="120">
        <f t="shared" si="54"/>
        <v>7668.7000000000007</v>
      </c>
      <c r="AD74" s="120">
        <f t="shared" si="11"/>
        <v>5751.5250000000005</v>
      </c>
      <c r="AE74" s="120">
        <f t="shared" si="49"/>
        <v>2875.7625000000007</v>
      </c>
      <c r="AF74" s="120">
        <f t="shared" si="33"/>
        <v>31633.387500000004</v>
      </c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5"/>
      <c r="AW74" s="45"/>
      <c r="AX74" s="48"/>
      <c r="AY74" s="45"/>
      <c r="AZ74" s="47"/>
      <c r="BA74" s="45"/>
      <c r="BB74" s="45"/>
      <c r="BC74" s="45"/>
      <c r="BD74" s="74"/>
      <c r="BE74" s="45"/>
      <c r="BF74" s="45"/>
      <c r="BG74" s="45"/>
      <c r="BH74" s="45"/>
      <c r="BI74" s="45"/>
      <c r="BJ74" s="45"/>
      <c r="BK74" s="94"/>
      <c r="BL74" s="120">
        <f t="shared" si="34"/>
        <v>31633.387500000004</v>
      </c>
      <c r="BM74" s="120">
        <f t="shared" si="35"/>
        <v>16295.987500000003</v>
      </c>
      <c r="BN74" s="120">
        <f t="shared" si="39"/>
        <v>15337.400000000001</v>
      </c>
      <c r="BO74" s="120">
        <f t="shared" si="40"/>
        <v>379600.65</v>
      </c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</row>
    <row r="75" spans="1:134" s="110" customFormat="1" ht="15.75" hidden="1" customHeight="1" x14ac:dyDescent="0.25">
      <c r="A75" s="13"/>
      <c r="B75" s="72" t="s">
        <v>129</v>
      </c>
      <c r="C75" s="74" t="s">
        <v>202</v>
      </c>
      <c r="D75" s="72" t="s">
        <v>131</v>
      </c>
      <c r="E75" s="72" t="s">
        <v>79</v>
      </c>
      <c r="F75" s="74">
        <v>19</v>
      </c>
      <c r="G75" s="72" t="s">
        <v>132</v>
      </c>
      <c r="H75" s="72" t="s">
        <v>133</v>
      </c>
      <c r="I75" s="72" t="s">
        <v>101</v>
      </c>
      <c r="J75" s="72" t="s">
        <v>106</v>
      </c>
      <c r="K75" s="74" t="s">
        <v>81</v>
      </c>
      <c r="L75" s="76">
        <v>14.09</v>
      </c>
      <c r="M75" s="76">
        <v>4.95</v>
      </c>
      <c r="N75" s="77">
        <v>17697</v>
      </c>
      <c r="O75" s="78">
        <f t="shared" si="60"/>
        <v>87600.150000000009</v>
      </c>
      <c r="P75" s="74"/>
      <c r="Q75" s="74"/>
      <c r="R75" s="74"/>
      <c r="S75" s="79">
        <v>1</v>
      </c>
      <c r="T75" s="79"/>
      <c r="U75" s="74"/>
      <c r="V75" s="78"/>
      <c r="W75" s="78"/>
      <c r="X75" s="78"/>
      <c r="Y75" s="121">
        <f t="shared" si="61"/>
        <v>4866.6750000000002</v>
      </c>
      <c r="Z75" s="121">
        <f t="shared" si="51"/>
        <v>0</v>
      </c>
      <c r="AA75" s="79"/>
      <c r="AB75" s="120">
        <f t="shared" si="62"/>
        <v>4866.6750000000002</v>
      </c>
      <c r="AC75" s="120">
        <f t="shared" si="54"/>
        <v>2433.3375000000001</v>
      </c>
      <c r="AD75" s="120">
        <f t="shared" si="11"/>
        <v>1825.0031250000002</v>
      </c>
      <c r="AE75" s="120">
        <f t="shared" si="49"/>
        <v>912.50156250000009</v>
      </c>
      <c r="AF75" s="120">
        <f t="shared" si="33"/>
        <v>10037.5171875</v>
      </c>
      <c r="AG75" s="46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5"/>
      <c r="AW75" s="45"/>
      <c r="AX75" s="45"/>
      <c r="AY75" s="45"/>
      <c r="AZ75" s="47"/>
      <c r="BA75" s="49"/>
      <c r="BB75" s="49"/>
      <c r="BC75" s="45"/>
      <c r="BD75" s="79"/>
      <c r="BE75" s="47"/>
      <c r="BF75" s="47"/>
      <c r="BG75" s="47"/>
      <c r="BH75" s="47"/>
      <c r="BI75" s="47"/>
      <c r="BJ75" s="47"/>
      <c r="BK75" s="94"/>
      <c r="BL75" s="120">
        <f t="shared" si="34"/>
        <v>10037.5171875</v>
      </c>
      <c r="BM75" s="120">
        <f t="shared" si="35"/>
        <v>5170.8421875000004</v>
      </c>
      <c r="BN75" s="120">
        <f t="shared" si="39"/>
        <v>4866.6749999999993</v>
      </c>
      <c r="BO75" s="120">
        <f t="shared" si="40"/>
        <v>120450.20624999999</v>
      </c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</row>
    <row r="76" spans="1:134" ht="15.75" customHeight="1" x14ac:dyDescent="0.25">
      <c r="A76" s="13"/>
      <c r="B76" s="89" t="s">
        <v>183</v>
      </c>
      <c r="C76" s="74"/>
      <c r="D76" s="72"/>
      <c r="E76" s="72"/>
      <c r="F76" s="72"/>
      <c r="G76" s="72"/>
      <c r="H76" s="72"/>
      <c r="I76" s="72"/>
      <c r="J76" s="74"/>
      <c r="K76" s="74"/>
      <c r="L76" s="76"/>
      <c r="M76" s="100"/>
      <c r="N76" s="92"/>
      <c r="O76" s="94">
        <f>SUM(O77:O79)</f>
        <v>273241.68000000005</v>
      </c>
      <c r="P76" s="94">
        <f t="shared" ref="P76:BO76" si="65">SUM(P77:P79)</f>
        <v>3</v>
      </c>
      <c r="Q76" s="94">
        <f t="shared" si="65"/>
        <v>0</v>
      </c>
      <c r="R76" s="94">
        <f t="shared" si="65"/>
        <v>0</v>
      </c>
      <c r="S76" s="94">
        <f t="shared" si="65"/>
        <v>0</v>
      </c>
      <c r="T76" s="94">
        <f t="shared" si="65"/>
        <v>0</v>
      </c>
      <c r="U76" s="94">
        <f t="shared" si="65"/>
        <v>0</v>
      </c>
      <c r="V76" s="94">
        <f t="shared" si="65"/>
        <v>11385.07</v>
      </c>
      <c r="W76" s="94">
        <f t="shared" si="65"/>
        <v>0</v>
      </c>
      <c r="X76" s="94">
        <f t="shared" si="65"/>
        <v>0</v>
      </c>
      <c r="Y76" s="94">
        <f t="shared" si="65"/>
        <v>0</v>
      </c>
      <c r="Z76" s="94">
        <f t="shared" si="65"/>
        <v>0</v>
      </c>
      <c r="AA76" s="94">
        <f t="shared" si="65"/>
        <v>0</v>
      </c>
      <c r="AB76" s="94">
        <f t="shared" si="65"/>
        <v>11385.07</v>
      </c>
      <c r="AC76" s="94">
        <f t="shared" si="65"/>
        <v>5692.5349999999999</v>
      </c>
      <c r="AD76" s="94">
        <f t="shared" si="65"/>
        <v>4269.4012500000008</v>
      </c>
      <c r="AE76" s="94">
        <f t="shared" si="65"/>
        <v>2134.7006250000004</v>
      </c>
      <c r="AF76" s="94">
        <f t="shared" si="65"/>
        <v>23481.706875</v>
      </c>
      <c r="AG76" s="94">
        <f t="shared" si="65"/>
        <v>0</v>
      </c>
      <c r="AH76" s="94">
        <f t="shared" si="65"/>
        <v>0</v>
      </c>
      <c r="AI76" s="94">
        <f t="shared" si="65"/>
        <v>0</v>
      </c>
      <c r="AJ76" s="94">
        <f t="shared" si="65"/>
        <v>0</v>
      </c>
      <c r="AK76" s="94">
        <f t="shared" si="65"/>
        <v>0</v>
      </c>
      <c r="AL76" s="94">
        <f t="shared" si="65"/>
        <v>0</v>
      </c>
      <c r="AM76" s="94">
        <f t="shared" si="65"/>
        <v>0</v>
      </c>
      <c r="AN76" s="94">
        <f t="shared" si="65"/>
        <v>0</v>
      </c>
      <c r="AO76" s="94">
        <f t="shared" si="65"/>
        <v>0</v>
      </c>
      <c r="AP76" s="94">
        <f t="shared" si="65"/>
        <v>0</v>
      </c>
      <c r="AQ76" s="94">
        <f t="shared" si="65"/>
        <v>0</v>
      </c>
      <c r="AR76" s="94">
        <f t="shared" si="65"/>
        <v>0</v>
      </c>
      <c r="AS76" s="94">
        <f t="shared" si="65"/>
        <v>0</v>
      </c>
      <c r="AT76" s="94">
        <f t="shared" si="65"/>
        <v>0</v>
      </c>
      <c r="AU76" s="94">
        <f t="shared" si="65"/>
        <v>0</v>
      </c>
      <c r="AV76" s="94">
        <f t="shared" si="65"/>
        <v>0</v>
      </c>
      <c r="AW76" s="94">
        <f t="shared" si="65"/>
        <v>0</v>
      </c>
      <c r="AX76" s="94">
        <f t="shared" si="65"/>
        <v>0</v>
      </c>
      <c r="AY76" s="94">
        <f t="shared" si="65"/>
        <v>0</v>
      </c>
      <c r="AZ76" s="94">
        <f t="shared" si="65"/>
        <v>0</v>
      </c>
      <c r="BA76" s="94">
        <f t="shared" si="65"/>
        <v>0</v>
      </c>
      <c r="BB76" s="94">
        <f t="shared" si="65"/>
        <v>0</v>
      </c>
      <c r="BC76" s="94">
        <f t="shared" si="65"/>
        <v>0</v>
      </c>
      <c r="BD76" s="94">
        <f t="shared" si="65"/>
        <v>0</v>
      </c>
      <c r="BE76" s="94">
        <f t="shared" si="65"/>
        <v>0</v>
      </c>
      <c r="BF76" s="94">
        <f t="shared" si="65"/>
        <v>0</v>
      </c>
      <c r="BG76" s="94">
        <f t="shared" si="65"/>
        <v>0</v>
      </c>
      <c r="BH76" s="94">
        <f t="shared" si="65"/>
        <v>0</v>
      </c>
      <c r="BI76" s="94">
        <f t="shared" si="65"/>
        <v>0</v>
      </c>
      <c r="BJ76" s="94">
        <f t="shared" si="65"/>
        <v>0</v>
      </c>
      <c r="BK76" s="94">
        <f t="shared" si="65"/>
        <v>0</v>
      </c>
      <c r="BL76" s="94">
        <f t="shared" si="65"/>
        <v>23481.706875</v>
      </c>
      <c r="BM76" s="94">
        <f t="shared" si="65"/>
        <v>12096.636875</v>
      </c>
      <c r="BN76" s="94">
        <f t="shared" si="65"/>
        <v>11385.07</v>
      </c>
      <c r="BO76" s="94">
        <f t="shared" si="65"/>
        <v>281780.48250000004</v>
      </c>
    </row>
    <row r="77" spans="1:134" ht="15.75" hidden="1" customHeight="1" x14ac:dyDescent="0.25">
      <c r="B77" s="83" t="s">
        <v>139</v>
      </c>
      <c r="C77" s="74" t="s">
        <v>184</v>
      </c>
      <c r="D77" s="72" t="s">
        <v>141</v>
      </c>
      <c r="E77" s="72" t="s">
        <v>79</v>
      </c>
      <c r="F77" s="74">
        <v>29</v>
      </c>
      <c r="G77" s="72" t="s">
        <v>136</v>
      </c>
      <c r="H77" s="72" t="s">
        <v>137</v>
      </c>
      <c r="I77" s="72" t="s">
        <v>101</v>
      </c>
      <c r="J77" s="72" t="s">
        <v>79</v>
      </c>
      <c r="K77" s="74" t="s">
        <v>87</v>
      </c>
      <c r="L77" s="76">
        <v>38.03</v>
      </c>
      <c r="M77" s="76">
        <v>5.41</v>
      </c>
      <c r="N77" s="77">
        <v>17697</v>
      </c>
      <c r="O77" s="78">
        <f t="shared" ref="O77:O79" si="66">SUM(N77*M77)</f>
        <v>95740.77</v>
      </c>
      <c r="P77" s="74">
        <v>1</v>
      </c>
      <c r="Q77" s="74"/>
      <c r="R77" s="74"/>
      <c r="S77" s="74"/>
      <c r="T77" s="74"/>
      <c r="U77" s="74"/>
      <c r="V77" s="120">
        <f>O77/24*P77</f>
        <v>3989.19875</v>
      </c>
      <c r="W77" s="78"/>
      <c r="X77" s="78"/>
      <c r="Y77" s="78"/>
      <c r="Z77" s="78"/>
      <c r="AA77" s="78"/>
      <c r="AB77" s="120">
        <f>V77</f>
        <v>3989.19875</v>
      </c>
      <c r="AC77" s="120">
        <f>AB77*50%</f>
        <v>1994.599375</v>
      </c>
      <c r="AD77" s="120">
        <f t="shared" si="11"/>
        <v>1495.9495312500001</v>
      </c>
      <c r="AE77" s="120">
        <f t="shared" si="32"/>
        <v>747.97476562500003</v>
      </c>
      <c r="AF77" s="120">
        <f t="shared" si="33"/>
        <v>8227.7224218749998</v>
      </c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53"/>
      <c r="AW77" s="53"/>
      <c r="AX77" s="53"/>
      <c r="AY77" s="53"/>
      <c r="AZ77" s="53"/>
      <c r="BA77" s="45"/>
      <c r="BB77" s="45"/>
      <c r="BC77" s="45"/>
      <c r="BD77" s="74"/>
      <c r="BE77" s="45"/>
      <c r="BF77" s="45"/>
      <c r="BG77" s="45"/>
      <c r="BH77" s="106"/>
      <c r="BI77" s="79"/>
      <c r="BJ77" s="79"/>
      <c r="BK77" s="94"/>
      <c r="BL77" s="120">
        <f t="shared" si="34"/>
        <v>8227.7224218749998</v>
      </c>
      <c r="BM77" s="120">
        <f t="shared" si="35"/>
        <v>4238.5236718750002</v>
      </c>
      <c r="BN77" s="120">
        <f t="shared" si="39"/>
        <v>3989.1987499999996</v>
      </c>
      <c r="BO77" s="120">
        <f t="shared" si="40"/>
        <v>98732.669062500005</v>
      </c>
    </row>
    <row r="78" spans="1:134" ht="15.75" hidden="1" customHeight="1" x14ac:dyDescent="0.25">
      <c r="B78" s="72" t="s">
        <v>144</v>
      </c>
      <c r="C78" s="74" t="s">
        <v>145</v>
      </c>
      <c r="D78" s="72" t="s">
        <v>146</v>
      </c>
      <c r="E78" s="72" t="s">
        <v>79</v>
      </c>
      <c r="F78" s="74">
        <v>25</v>
      </c>
      <c r="G78" s="75">
        <v>43831</v>
      </c>
      <c r="H78" s="75">
        <v>45658</v>
      </c>
      <c r="I78" s="87" t="s">
        <v>147</v>
      </c>
      <c r="J78" s="72" t="s">
        <v>106</v>
      </c>
      <c r="K78" s="74" t="s">
        <v>81</v>
      </c>
      <c r="L78" s="76">
        <v>8.0500000000000007</v>
      </c>
      <c r="M78" s="76">
        <v>4.79</v>
      </c>
      <c r="N78" s="77">
        <v>17697</v>
      </c>
      <c r="O78" s="78">
        <f t="shared" si="66"/>
        <v>84768.63</v>
      </c>
      <c r="P78" s="74">
        <v>1</v>
      </c>
      <c r="Q78" s="74"/>
      <c r="R78" s="74"/>
      <c r="S78" s="74"/>
      <c r="T78" s="74"/>
      <c r="U78" s="74"/>
      <c r="V78" s="120">
        <f t="shared" ref="V78:V79" si="67">O78/24*P78</f>
        <v>3532.0262500000003</v>
      </c>
      <c r="W78" s="78"/>
      <c r="X78" s="78"/>
      <c r="Y78" s="78"/>
      <c r="Z78" s="78"/>
      <c r="AA78" s="78"/>
      <c r="AB78" s="120">
        <f t="shared" ref="AB78:AB79" si="68">V78</f>
        <v>3532.0262500000003</v>
      </c>
      <c r="AC78" s="120">
        <f t="shared" ref="AC78:AC79" si="69">AB78*50%</f>
        <v>1766.0131250000002</v>
      </c>
      <c r="AD78" s="120">
        <f t="shared" si="11"/>
        <v>1324.5098437500001</v>
      </c>
      <c r="AE78" s="120">
        <f t="shared" si="32"/>
        <v>662.25492187500015</v>
      </c>
      <c r="AF78" s="120">
        <f t="shared" ref="AF78:AF79" si="70">SUM(AB78:AE78)</f>
        <v>7284.8041406250004</v>
      </c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5"/>
      <c r="AW78" s="45"/>
      <c r="AX78" s="48"/>
      <c r="AY78" s="45"/>
      <c r="AZ78" s="47"/>
      <c r="BA78" s="45"/>
      <c r="BB78" s="45"/>
      <c r="BC78" s="45"/>
      <c r="BD78" s="45"/>
      <c r="BE78" s="45"/>
      <c r="BF78" s="45"/>
      <c r="BG78" s="45"/>
      <c r="BH78" s="106"/>
      <c r="BI78" s="79"/>
      <c r="BJ78" s="79"/>
      <c r="BK78" s="94"/>
      <c r="BL78" s="120">
        <f t="shared" si="34"/>
        <v>7284.8041406250004</v>
      </c>
      <c r="BM78" s="120">
        <f t="shared" si="35"/>
        <v>3752.7778906250005</v>
      </c>
      <c r="BN78" s="120">
        <f t="shared" si="39"/>
        <v>3532.0262499999999</v>
      </c>
      <c r="BO78" s="120">
        <f t="shared" si="40"/>
        <v>87417.649687500001</v>
      </c>
    </row>
    <row r="79" spans="1:134" ht="15.75" hidden="1" customHeight="1" x14ac:dyDescent="0.25">
      <c r="B79" s="29" t="s">
        <v>120</v>
      </c>
      <c r="C79" s="74" t="s">
        <v>121</v>
      </c>
      <c r="D79" s="72" t="s">
        <v>122</v>
      </c>
      <c r="E79" s="72" t="s">
        <v>79</v>
      </c>
      <c r="F79" s="74">
        <v>49</v>
      </c>
      <c r="G79" s="75">
        <v>43335</v>
      </c>
      <c r="H79" s="75">
        <v>45161</v>
      </c>
      <c r="I79" s="72" t="s">
        <v>123</v>
      </c>
      <c r="J79" s="72" t="s">
        <v>92</v>
      </c>
      <c r="K79" s="74" t="s">
        <v>87</v>
      </c>
      <c r="L79" s="76">
        <v>17.04</v>
      </c>
      <c r="M79" s="76">
        <v>5.24</v>
      </c>
      <c r="N79" s="77">
        <v>17697</v>
      </c>
      <c r="O79" s="78">
        <f t="shared" si="66"/>
        <v>92732.28</v>
      </c>
      <c r="P79" s="74">
        <v>1</v>
      </c>
      <c r="Q79" s="74"/>
      <c r="R79" s="74"/>
      <c r="S79" s="74"/>
      <c r="T79" s="74"/>
      <c r="U79" s="74"/>
      <c r="V79" s="120">
        <f t="shared" si="67"/>
        <v>3863.8449999999998</v>
      </c>
      <c r="W79" s="78"/>
      <c r="X79" s="78"/>
      <c r="Y79" s="78"/>
      <c r="Z79" s="78"/>
      <c r="AA79" s="78"/>
      <c r="AB79" s="120">
        <f t="shared" si="68"/>
        <v>3863.8449999999998</v>
      </c>
      <c r="AC79" s="120">
        <f t="shared" si="69"/>
        <v>1931.9224999999999</v>
      </c>
      <c r="AD79" s="120">
        <f t="shared" si="11"/>
        <v>1448.941875</v>
      </c>
      <c r="AE79" s="120">
        <f t="shared" si="32"/>
        <v>724.47093749999999</v>
      </c>
      <c r="AF79" s="120">
        <f t="shared" si="70"/>
        <v>7969.1803125000006</v>
      </c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5"/>
      <c r="AW79" s="45"/>
      <c r="AX79" s="45"/>
      <c r="AY79" s="45"/>
      <c r="AZ79" s="47"/>
      <c r="BA79" s="45"/>
      <c r="BB79" s="45"/>
      <c r="BC79" s="45"/>
      <c r="BD79" s="45"/>
      <c r="BE79" s="45"/>
      <c r="BF79" s="45"/>
      <c r="BG79" s="45"/>
      <c r="BH79" s="106"/>
      <c r="BI79" s="79"/>
      <c r="BJ79" s="79"/>
      <c r="BK79" s="94"/>
      <c r="BL79" s="120">
        <f t="shared" si="34"/>
        <v>7969.1803125000006</v>
      </c>
      <c r="BM79" s="120">
        <f t="shared" si="35"/>
        <v>4105.3353125000003</v>
      </c>
      <c r="BN79" s="120">
        <f t="shared" si="39"/>
        <v>3863.8450000000003</v>
      </c>
      <c r="BO79" s="120">
        <f t="shared" si="40"/>
        <v>95630.163750000007</v>
      </c>
    </row>
    <row r="80" spans="1:134" ht="15.75" customHeight="1" x14ac:dyDescent="0.25">
      <c r="B80" s="89" t="s">
        <v>185</v>
      </c>
      <c r="C80" s="83"/>
      <c r="D80" s="72"/>
      <c r="E80" s="74"/>
      <c r="F80" s="74"/>
      <c r="G80" s="74"/>
      <c r="H80" s="74"/>
      <c r="I80" s="74"/>
      <c r="J80" s="83"/>
      <c r="K80" s="83"/>
      <c r="L80" s="83"/>
      <c r="M80" s="100"/>
      <c r="N80" s="92">
        <f>N45+N57+N76</f>
        <v>17697</v>
      </c>
      <c r="O80" s="94">
        <f>O45+O46</f>
        <v>5160976.1099999994</v>
      </c>
      <c r="P80" s="94">
        <f t="shared" ref="P80:BO80" si="71">P45+P46</f>
        <v>100</v>
      </c>
      <c r="Q80" s="94">
        <f t="shared" si="71"/>
        <v>133</v>
      </c>
      <c r="R80" s="94">
        <f t="shared" si="71"/>
        <v>62</v>
      </c>
      <c r="S80" s="94">
        <f t="shared" si="71"/>
        <v>10</v>
      </c>
      <c r="T80" s="94">
        <f t="shared" si="71"/>
        <v>14</v>
      </c>
      <c r="U80" s="94">
        <f t="shared" si="71"/>
        <v>16</v>
      </c>
      <c r="V80" s="94">
        <f t="shared" si="71"/>
        <v>494296.87333333335</v>
      </c>
      <c r="W80" s="94">
        <f t="shared" si="71"/>
        <v>666621.41083333339</v>
      </c>
      <c r="X80" s="94">
        <f t="shared" si="71"/>
        <v>301694.52333333332</v>
      </c>
      <c r="Y80" s="94">
        <f t="shared" si="71"/>
        <v>49826.886666666673</v>
      </c>
      <c r="Z80" s="94">
        <f t="shared" si="71"/>
        <v>63178.29</v>
      </c>
      <c r="AA80" s="94">
        <f t="shared" si="71"/>
        <v>78967.94666666667</v>
      </c>
      <c r="AB80" s="94">
        <f t="shared" si="71"/>
        <v>1654585.9308333329</v>
      </c>
      <c r="AC80" s="94">
        <f t="shared" si="71"/>
        <v>827292.96541666647</v>
      </c>
      <c r="AD80" s="94">
        <f t="shared" si="71"/>
        <v>620469.72406250006</v>
      </c>
      <c r="AE80" s="94">
        <f t="shared" si="71"/>
        <v>307497.35734375002</v>
      </c>
      <c r="AF80" s="94">
        <f t="shared" si="71"/>
        <v>3409845.9776562499</v>
      </c>
      <c r="AG80" s="94">
        <f t="shared" si="71"/>
        <v>0</v>
      </c>
      <c r="AH80" s="94">
        <f t="shared" si="71"/>
        <v>42.5</v>
      </c>
      <c r="AI80" s="94">
        <f t="shared" ca="1" si="71"/>
        <v>5160976.1099999994</v>
      </c>
      <c r="AJ80" s="94">
        <f t="shared" si="71"/>
        <v>4</v>
      </c>
      <c r="AK80" s="94">
        <f t="shared" si="71"/>
        <v>1966.5111111111109</v>
      </c>
      <c r="AL80" s="94">
        <f t="shared" si="71"/>
        <v>46.677777777777777</v>
      </c>
      <c r="AM80" s="94">
        <f t="shared" ca="1" si="71"/>
        <v>5160976.1099999994</v>
      </c>
      <c r="AN80" s="94">
        <f t="shared" si="71"/>
        <v>14.5</v>
      </c>
      <c r="AO80" s="94">
        <f t="shared" si="71"/>
        <v>7127.9583333333339</v>
      </c>
      <c r="AP80" s="94">
        <f t="shared" si="71"/>
        <v>14</v>
      </c>
      <c r="AQ80" s="94">
        <f t="shared" si="71"/>
        <v>15534.033333333333</v>
      </c>
      <c r="AR80" s="94">
        <f t="shared" si="71"/>
        <v>52.5</v>
      </c>
      <c r="AS80" s="94">
        <f t="shared" si="71"/>
        <v>22661.991666666665</v>
      </c>
      <c r="AT80" s="94">
        <f t="shared" si="71"/>
        <v>99.177777777777777</v>
      </c>
      <c r="AU80" s="94">
        <f t="shared" ca="1" si="71"/>
        <v>5160976.1099999994</v>
      </c>
      <c r="AV80" s="94">
        <f t="shared" si="71"/>
        <v>63</v>
      </c>
      <c r="AW80" s="94">
        <f t="shared" si="71"/>
        <v>4</v>
      </c>
      <c r="AX80" s="94">
        <f t="shared" si="71"/>
        <v>4</v>
      </c>
      <c r="AY80" s="94">
        <f t="shared" si="71"/>
        <v>2</v>
      </c>
      <c r="AZ80" s="94">
        <f t="shared" si="71"/>
        <v>109721.39999999998</v>
      </c>
      <c r="BA80" s="94">
        <f t="shared" si="71"/>
        <v>3</v>
      </c>
      <c r="BB80" s="94">
        <f t="shared" si="71"/>
        <v>10618.2</v>
      </c>
      <c r="BC80" s="94">
        <f t="shared" si="71"/>
        <v>329</v>
      </c>
      <c r="BD80" s="94">
        <f t="shared" si="71"/>
        <v>922304.04140624998</v>
      </c>
      <c r="BE80" s="94">
        <f t="shared" si="71"/>
        <v>53091</v>
      </c>
      <c r="BF80" s="94">
        <f t="shared" si="71"/>
        <v>164.5</v>
      </c>
      <c r="BG80" s="94">
        <f t="shared" si="71"/>
        <v>938601.87234374997</v>
      </c>
      <c r="BH80" s="94">
        <f t="shared" si="71"/>
        <v>12978.166666666666</v>
      </c>
      <c r="BI80" s="94">
        <f t="shared" si="71"/>
        <v>29170</v>
      </c>
      <c r="BJ80" s="94">
        <f t="shared" si="71"/>
        <v>17697</v>
      </c>
      <c r="BK80" s="94">
        <f t="shared" si="71"/>
        <v>2127311.5024652784</v>
      </c>
      <c r="BL80" s="94">
        <f t="shared" si="71"/>
        <v>5537157.4801215278</v>
      </c>
      <c r="BM80" s="94">
        <f t="shared" si="71"/>
        <v>2722442.5741666663</v>
      </c>
      <c r="BN80" s="94">
        <f t="shared" si="71"/>
        <v>2814714.9059548606</v>
      </c>
      <c r="BO80" s="94">
        <f t="shared" si="71"/>
        <v>66445889.76145833</v>
      </c>
    </row>
    <row r="81" spans="2:67" ht="15.75" customHeight="1" x14ac:dyDescent="0.25">
      <c r="B81" s="5"/>
      <c r="C81" s="5"/>
      <c r="D81" s="3"/>
      <c r="E81" s="4"/>
      <c r="F81" s="4"/>
      <c r="G81" s="4"/>
      <c r="H81" s="4"/>
      <c r="I81" s="4"/>
      <c r="J81" s="5"/>
      <c r="K81" s="5"/>
      <c r="L81" s="5"/>
      <c r="M81" s="25"/>
      <c r="N81" s="5"/>
      <c r="O81" s="102"/>
      <c r="P81" s="5"/>
      <c r="Q81" s="2"/>
      <c r="R81" s="5"/>
      <c r="S81" s="7"/>
      <c r="T81" s="7"/>
      <c r="U81" s="7"/>
      <c r="V81" s="5"/>
      <c r="W81" s="5"/>
      <c r="X81" s="5"/>
      <c r="Y81" s="5"/>
      <c r="Z81" s="5"/>
      <c r="AA81" s="5"/>
      <c r="AB81" s="5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2"/>
      <c r="AV81" s="124"/>
      <c r="AW81" s="124"/>
      <c r="AX81" s="124"/>
      <c r="AY81" s="124"/>
      <c r="AZ81" s="124"/>
      <c r="BA81" s="12"/>
      <c r="BB81" s="12"/>
      <c r="BC81" s="13"/>
      <c r="BD81" s="13"/>
      <c r="BE81" s="13"/>
      <c r="BF81" s="13"/>
      <c r="BG81" s="13"/>
      <c r="BH81" s="13"/>
      <c r="BI81" s="13"/>
      <c r="BJ81" s="13"/>
      <c r="BK81" s="23"/>
      <c r="BL81" s="59"/>
      <c r="BM81" s="59"/>
      <c r="BN81" s="59"/>
      <c r="BO81" s="12"/>
    </row>
    <row r="82" spans="2:67" ht="15.75" customHeight="1" x14ac:dyDescent="0.25">
      <c r="B82" s="2" t="s">
        <v>216</v>
      </c>
      <c r="C82" s="17" t="s">
        <v>217</v>
      </c>
      <c r="D82" s="3"/>
      <c r="E82" s="5"/>
      <c r="F82" s="5"/>
      <c r="G82" s="217" t="s">
        <v>243</v>
      </c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5"/>
      <c r="Z82" s="5"/>
      <c r="AA82" s="5"/>
      <c r="AB82" s="5"/>
      <c r="AC82" s="13"/>
      <c r="AD82" s="60"/>
      <c r="AE82" s="13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2"/>
      <c r="AV82" s="12"/>
      <c r="AW82" s="12"/>
      <c r="AX82" s="12"/>
      <c r="AY82" s="12"/>
      <c r="AZ82" s="12"/>
      <c r="BA82" s="12"/>
      <c r="BB82" s="12"/>
      <c r="BC82" s="13"/>
      <c r="BD82" s="13"/>
      <c r="BE82" s="13"/>
      <c r="BF82" s="13"/>
      <c r="BG82" s="13"/>
      <c r="BH82" s="13"/>
      <c r="BI82" s="13"/>
      <c r="BJ82" s="13"/>
      <c r="BK82" s="60"/>
      <c r="BL82" s="62"/>
      <c r="BM82" s="62"/>
      <c r="BN82" s="62"/>
      <c r="BO82" s="60"/>
    </row>
    <row r="83" spans="2:67" ht="15.75" customHeight="1" x14ac:dyDescent="0.25">
      <c r="B83" s="2"/>
      <c r="C83" s="2"/>
      <c r="D83" s="3"/>
      <c r="E83" s="5"/>
      <c r="F83" s="5"/>
      <c r="G83" s="5"/>
      <c r="H83" s="5"/>
      <c r="I83" s="5"/>
      <c r="J83" s="61"/>
      <c r="K83" s="5"/>
      <c r="L83" s="154"/>
      <c r="M83" s="7"/>
      <c r="N83" s="2"/>
      <c r="O83" s="61"/>
      <c r="P83" s="155"/>
      <c r="Q83" s="61"/>
      <c r="R83" s="155"/>
      <c r="S83" s="7"/>
      <c r="T83" s="7"/>
      <c r="U83" s="7"/>
      <c r="V83" s="2"/>
      <c r="W83" s="5"/>
      <c r="X83" s="61"/>
      <c r="Y83" s="5"/>
      <c r="Z83" s="5"/>
      <c r="AA83" s="5"/>
      <c r="AB83" s="5"/>
      <c r="AC83" s="13"/>
      <c r="AD83" s="60"/>
      <c r="AE83" s="13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2"/>
      <c r="AV83" s="62"/>
      <c r="AW83" s="12"/>
      <c r="AX83" s="62"/>
      <c r="AY83" s="62"/>
      <c r="AZ83" s="62"/>
      <c r="BA83" s="12"/>
      <c r="BB83" s="12"/>
      <c r="BC83" s="13"/>
      <c r="BD83" s="13"/>
      <c r="BE83" s="13"/>
      <c r="BF83" s="13"/>
      <c r="BG83" s="13"/>
      <c r="BH83" s="13"/>
      <c r="BI83" s="13"/>
      <c r="BJ83" s="13"/>
      <c r="BK83" s="64"/>
      <c r="BL83" s="64"/>
      <c r="BM83" s="64"/>
      <c r="BN83" s="64"/>
      <c r="BO83" s="13"/>
    </row>
    <row r="84" spans="2:67" ht="15.75" customHeight="1" x14ac:dyDescent="0.25">
      <c r="B84" s="2" t="s">
        <v>186</v>
      </c>
      <c r="C84" s="2" t="s">
        <v>187</v>
      </c>
      <c r="D84" s="104"/>
      <c r="E84" s="5"/>
      <c r="F84" s="5"/>
      <c r="G84" s="218" t="s">
        <v>244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5"/>
      <c r="AA84" s="5"/>
      <c r="AB84" s="5"/>
      <c r="AC84" s="13"/>
      <c r="AD84" s="60"/>
      <c r="AE84" s="13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2"/>
      <c r="AV84" s="12"/>
      <c r="AW84" s="12"/>
      <c r="AX84" s="12"/>
      <c r="AY84" s="12"/>
      <c r="AZ84" s="12"/>
      <c r="BA84" s="12"/>
      <c r="BB84" s="12"/>
      <c r="BC84" s="13"/>
      <c r="BD84" s="13"/>
      <c r="BE84" s="13"/>
      <c r="BF84" s="13"/>
      <c r="BG84" s="13"/>
      <c r="BH84" s="13"/>
      <c r="BI84" s="13"/>
      <c r="BJ84" s="13"/>
      <c r="BK84" s="64"/>
      <c r="BL84" s="64"/>
      <c r="BM84" s="64"/>
      <c r="BN84" s="64"/>
      <c r="BO84" s="13"/>
    </row>
    <row r="85" spans="2:67" ht="15.75" customHeight="1" x14ac:dyDescent="0.25">
      <c r="B85" s="2"/>
      <c r="C85" s="2"/>
      <c r="D85" s="104"/>
      <c r="E85" s="4"/>
      <c r="F85" s="4"/>
      <c r="G85" s="4"/>
      <c r="H85" s="4"/>
      <c r="I85" s="4"/>
      <c r="J85" s="5"/>
      <c r="K85" s="5"/>
      <c r="L85" s="5"/>
      <c r="M85" s="25"/>
      <c r="N85" s="2"/>
      <c r="O85" s="2"/>
      <c r="P85" s="2"/>
      <c r="Q85" s="2"/>
      <c r="R85" s="2"/>
      <c r="S85" s="7"/>
      <c r="T85" s="7"/>
      <c r="U85" s="7"/>
      <c r="V85" s="2"/>
      <c r="W85" s="5"/>
      <c r="X85" s="5"/>
      <c r="Y85" s="5"/>
      <c r="Z85" s="5"/>
      <c r="AA85" s="5"/>
      <c r="AB85" s="5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2"/>
      <c r="AV85" s="12"/>
      <c r="AW85" s="12"/>
      <c r="AX85" s="12"/>
      <c r="AY85" s="12"/>
      <c r="AZ85" s="12"/>
      <c r="BA85" s="12"/>
      <c r="BB85" s="12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</row>
    <row r="86" spans="2:67" ht="15.75" customHeight="1" x14ac:dyDescent="0.25">
      <c r="B86" s="2" t="s">
        <v>188</v>
      </c>
      <c r="C86" s="2" t="s">
        <v>189</v>
      </c>
      <c r="D86" s="104"/>
      <c r="E86" s="4"/>
      <c r="F86" s="4"/>
      <c r="G86" s="4"/>
      <c r="H86" s="4"/>
      <c r="I86" s="4"/>
      <c r="J86" s="5"/>
      <c r="K86" s="5"/>
      <c r="L86" s="5"/>
      <c r="M86" s="25"/>
      <c r="N86" s="2"/>
      <c r="O86" s="2"/>
      <c r="P86" s="105"/>
      <c r="Q86" s="2"/>
      <c r="R86" s="2"/>
      <c r="S86" s="7"/>
      <c r="T86" s="7"/>
      <c r="U86" s="7"/>
      <c r="V86" s="2"/>
      <c r="W86" s="5"/>
      <c r="X86" s="5"/>
      <c r="Y86" s="5"/>
      <c r="Z86" s="5"/>
      <c r="AA86" s="5"/>
      <c r="AB86" s="5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2"/>
      <c r="AV86" s="12"/>
      <c r="AW86" s="12"/>
      <c r="AX86" s="12"/>
      <c r="AY86" s="12"/>
      <c r="AZ86" s="12"/>
      <c r="BA86" s="12"/>
      <c r="BB86" s="12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</row>
    <row r="87" spans="2:67" ht="15.75" customHeight="1" x14ac:dyDescent="0.25">
      <c r="B87" s="2"/>
      <c r="C87" s="2"/>
      <c r="D87" s="3"/>
      <c r="E87" s="4"/>
      <c r="F87" s="4"/>
      <c r="G87" s="4"/>
      <c r="H87" s="4"/>
      <c r="I87" s="4"/>
      <c r="J87" s="5"/>
      <c r="K87" s="5"/>
      <c r="L87" s="5"/>
      <c r="M87" s="25"/>
      <c r="N87" s="2"/>
      <c r="O87" s="2"/>
      <c r="P87" s="2"/>
      <c r="Q87" s="2"/>
      <c r="R87" s="2"/>
      <c r="S87" s="7"/>
      <c r="T87" s="7"/>
      <c r="U87" s="7"/>
      <c r="V87" s="2"/>
      <c r="W87" s="5"/>
      <c r="X87" s="5"/>
      <c r="Y87" s="5"/>
      <c r="Z87" s="5"/>
      <c r="AA87" s="5"/>
      <c r="AB87" s="5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65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</row>
    <row r="88" spans="2:67" ht="15.75" customHeight="1" x14ac:dyDescent="0.25">
      <c r="B88" s="2" t="s">
        <v>190</v>
      </c>
      <c r="C88" s="2" t="s">
        <v>192</v>
      </c>
      <c r="D88" s="3"/>
      <c r="E88" s="4"/>
      <c r="F88" s="4"/>
      <c r="G88" s="4"/>
      <c r="H88" s="4"/>
      <c r="I88" s="4"/>
      <c r="J88" s="5"/>
      <c r="K88" s="5"/>
      <c r="L88" s="5"/>
      <c r="M88" s="25"/>
      <c r="N88" s="5"/>
      <c r="O88" s="5"/>
      <c r="P88" s="5"/>
      <c r="Q88" s="2"/>
      <c r="R88" s="5"/>
      <c r="S88" s="7"/>
      <c r="T88" s="7"/>
      <c r="U88" s="7"/>
      <c r="V88" s="5"/>
      <c r="W88" s="5"/>
      <c r="X88" s="5"/>
      <c r="Y88" s="5"/>
      <c r="Z88" s="5"/>
      <c r="AA88" s="5"/>
      <c r="AB88" s="5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</row>
    <row r="89" spans="2:67" ht="15.75" customHeight="1" x14ac:dyDescent="0.25">
      <c r="B89" s="5"/>
      <c r="C89" s="5"/>
      <c r="D89" s="3"/>
      <c r="E89" s="4"/>
      <c r="F89" s="4"/>
      <c r="G89" s="4"/>
      <c r="H89" s="4"/>
      <c r="I89" s="4"/>
      <c r="J89" s="5"/>
      <c r="K89" s="5"/>
      <c r="L89" s="5"/>
      <c r="M89" s="25"/>
      <c r="N89" s="5"/>
      <c r="O89" s="5"/>
      <c r="P89" s="5"/>
      <c r="Q89" s="2"/>
      <c r="R89" s="5"/>
      <c r="S89" s="7"/>
      <c r="T89" s="7"/>
      <c r="U89" s="7"/>
      <c r="V89" s="5"/>
      <c r="W89" s="5"/>
      <c r="X89" s="5"/>
      <c r="Y89" s="5"/>
      <c r="Z89" s="5"/>
      <c r="AA89" s="5"/>
      <c r="AB89" s="5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</row>
    <row r="90" spans="2:67" ht="15.75" customHeight="1" x14ac:dyDescent="0.25">
      <c r="B90" s="5"/>
      <c r="C90" s="5"/>
      <c r="D90" s="3"/>
      <c r="E90" s="4"/>
      <c r="F90" s="4"/>
      <c r="G90" s="4"/>
      <c r="H90" s="4"/>
      <c r="I90" s="4"/>
      <c r="J90" s="5"/>
      <c r="K90" s="5"/>
      <c r="L90" s="5"/>
      <c r="M90" s="25"/>
      <c r="N90" s="5"/>
      <c r="O90" s="5"/>
      <c r="P90" s="5"/>
      <c r="Q90" s="2"/>
      <c r="R90" s="5"/>
      <c r="S90" s="7"/>
      <c r="T90" s="7"/>
      <c r="U90" s="7"/>
      <c r="V90" s="5"/>
      <c r="W90" s="5"/>
      <c r="X90" s="5"/>
      <c r="Y90" s="5"/>
      <c r="Z90" s="5"/>
      <c r="AA90" s="5"/>
      <c r="AB90" s="5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</row>
    <row r="91" spans="2:67" ht="15.75" customHeight="1" x14ac:dyDescent="0.25">
      <c r="B91" s="13"/>
      <c r="C91" s="13"/>
      <c r="D91" s="54"/>
      <c r="E91" s="55"/>
      <c r="F91" s="55"/>
      <c r="G91" s="55"/>
      <c r="H91" s="55"/>
      <c r="I91" s="55"/>
      <c r="J91" s="13"/>
      <c r="K91" s="13"/>
      <c r="L91" s="13"/>
      <c r="M91" s="56"/>
      <c r="N91" s="13"/>
      <c r="O91" s="57"/>
      <c r="P91" s="13"/>
      <c r="Q91" s="58"/>
      <c r="R91" s="13"/>
      <c r="S91" s="116"/>
      <c r="T91" s="116"/>
      <c r="U91" s="116"/>
      <c r="V91" s="13"/>
      <c r="W91" s="13"/>
      <c r="X91" s="13"/>
      <c r="Y91" s="13"/>
      <c r="Z91" s="13"/>
      <c r="AA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</row>
    <row r="92" spans="2:67" ht="15.75" customHeight="1" x14ac:dyDescent="0.25">
      <c r="B92" s="13"/>
      <c r="C92" s="13"/>
      <c r="D92" s="54"/>
      <c r="E92" s="55"/>
      <c r="F92" s="55"/>
      <c r="G92" s="55"/>
      <c r="H92" s="55"/>
      <c r="I92" s="55"/>
      <c r="J92" s="13"/>
      <c r="K92" s="13"/>
      <c r="L92" s="13"/>
      <c r="M92" s="56"/>
      <c r="N92" s="13"/>
      <c r="O92" s="66"/>
      <c r="P92" s="13"/>
      <c r="Q92" s="58"/>
      <c r="R92" s="13"/>
      <c r="S92" s="116"/>
      <c r="T92" s="116"/>
      <c r="U92" s="116"/>
      <c r="V92" s="13"/>
      <c r="W92" s="13"/>
      <c r="X92" s="13"/>
      <c r="Y92" s="13"/>
      <c r="Z92" s="13"/>
      <c r="AA92" s="13"/>
      <c r="AC92" s="13"/>
      <c r="AD92" s="13"/>
      <c r="AE92" s="13"/>
      <c r="AF92" s="13" t="s">
        <v>191</v>
      </c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</row>
    <row r="93" spans="2:67" ht="15.75" customHeight="1" x14ac:dyDescent="0.25">
      <c r="B93" s="13"/>
      <c r="C93" s="13"/>
      <c r="D93" s="54"/>
      <c r="E93" s="55"/>
      <c r="F93" s="55"/>
      <c r="G93" s="55"/>
      <c r="H93" s="55"/>
      <c r="I93" s="55"/>
      <c r="J93" s="13"/>
      <c r="K93" s="13"/>
      <c r="L93" s="13"/>
      <c r="M93" s="56"/>
      <c r="N93" s="13"/>
      <c r="O93" s="13"/>
      <c r="P93" s="13"/>
      <c r="Q93" s="58"/>
      <c r="R93" s="13"/>
      <c r="S93" s="116"/>
      <c r="T93" s="116"/>
      <c r="U93" s="116"/>
      <c r="V93" s="13"/>
      <c r="W93" s="13"/>
      <c r="X93" s="13"/>
      <c r="Y93" s="13"/>
      <c r="Z93" s="13"/>
      <c r="AA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</row>
    <row r="94" spans="2:67" ht="15.75" customHeight="1" x14ac:dyDescent="0.25">
      <c r="AV94" s="13"/>
      <c r="AW94" s="13"/>
      <c r="AX94" s="13"/>
      <c r="AY94" s="13"/>
      <c r="AZ94" s="13"/>
    </row>
  </sheetData>
  <mergeCells count="60">
    <mergeCell ref="B10:B14"/>
    <mergeCell ref="C10:C14"/>
    <mergeCell ref="D10:D14"/>
    <mergeCell ref="E10:E14"/>
    <mergeCell ref="F10:J11"/>
    <mergeCell ref="F12:F14"/>
    <mergeCell ref="G12:H13"/>
    <mergeCell ref="I12:I14"/>
    <mergeCell ref="J12:J14"/>
    <mergeCell ref="BE10:BE14"/>
    <mergeCell ref="BF10:BF14"/>
    <mergeCell ref="BG10:BG14"/>
    <mergeCell ref="L10:L14"/>
    <mergeCell ref="M10:M14"/>
    <mergeCell ref="N10:N14"/>
    <mergeCell ref="O10:O14"/>
    <mergeCell ref="P10:R13"/>
    <mergeCell ref="AC10:AC14"/>
    <mergeCell ref="AD10:AD14"/>
    <mergeCell ref="AE10:AE14"/>
    <mergeCell ref="AF10:AF14"/>
    <mergeCell ref="V12:X13"/>
    <mergeCell ref="Y12:AA13"/>
    <mergeCell ref="AB12:AB14"/>
    <mergeCell ref="BA10:BB13"/>
    <mergeCell ref="BC10:BC14"/>
    <mergeCell ref="BD10:BD14"/>
    <mergeCell ref="AN12:AO12"/>
    <mergeCell ref="AP12:AQ12"/>
    <mergeCell ref="AR12:AS13"/>
    <mergeCell ref="G82:X82"/>
    <mergeCell ref="G84:Y84"/>
    <mergeCell ref="AI13:AI14"/>
    <mergeCell ref="AJ13:AK13"/>
    <mergeCell ref="AN13:AO13"/>
    <mergeCell ref="K10:K14"/>
    <mergeCell ref="AH11:AM11"/>
    <mergeCell ref="AN11:AS11"/>
    <mergeCell ref="AH12:AI12"/>
    <mergeCell ref="AJ12:AK12"/>
    <mergeCell ref="S10:U13"/>
    <mergeCell ref="V10:AB11"/>
    <mergeCell ref="AH10:AS10"/>
    <mergeCell ref="AH13:AH14"/>
    <mergeCell ref="AL12:AM13"/>
    <mergeCell ref="AG10:AG12"/>
    <mergeCell ref="BN10:BN14"/>
    <mergeCell ref="BO10:BO14"/>
    <mergeCell ref="AZ13:AZ14"/>
    <mergeCell ref="AP13:AQ13"/>
    <mergeCell ref="AV13:AV14"/>
    <mergeCell ref="AW13:AY13"/>
    <mergeCell ref="BH10:BH14"/>
    <mergeCell ref="BI10:BI14"/>
    <mergeCell ref="BK10:BK14"/>
    <mergeCell ref="BL10:BL14"/>
    <mergeCell ref="BM10:BM14"/>
    <mergeCell ref="BJ10:BJ14"/>
    <mergeCell ref="AT10:AU13"/>
    <mergeCell ref="AV10:AZ12"/>
  </mergeCells>
  <pageMargins left="0.70866141732283472" right="0.70866141732283472" top="0.74803149606299213" bottom="0.74803149606299213" header="0.31496062992125984" footer="0.31496062992125984"/>
  <pageSetup paperSize="9" scale="50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D94"/>
  <sheetViews>
    <sheetView view="pageBreakPreview" topLeftCell="AB26" zoomScale="80" zoomScaleNormal="96" zoomScaleSheetLayoutView="80" workbookViewId="0">
      <selection activeCell="AJ51" sqref="AF51:AJ68"/>
    </sheetView>
  </sheetViews>
  <sheetFormatPr defaultRowHeight="15.75" customHeight="1" x14ac:dyDescent="0.25"/>
  <cols>
    <col min="2" max="2" width="32.42578125" customWidth="1"/>
    <col min="3" max="3" width="14.5703125" customWidth="1"/>
    <col min="4" max="4" width="16.5703125" customWidth="1"/>
    <col min="5" max="6" width="5.28515625" customWidth="1"/>
    <col min="7" max="7" width="10.85546875" customWidth="1"/>
    <col min="8" max="8" width="12.28515625" customWidth="1"/>
    <col min="9" max="9" width="12" customWidth="1"/>
    <col min="10" max="10" width="6.140625" customWidth="1"/>
    <col min="11" max="11" width="8.5703125" customWidth="1"/>
    <col min="12" max="12" width="6.7109375" customWidth="1"/>
    <col min="13" max="13" width="6.28515625" customWidth="1"/>
    <col min="14" max="14" width="8.140625" customWidth="1"/>
    <col min="15" max="15" width="9.5703125" customWidth="1"/>
    <col min="16" max="16" width="5.85546875" customWidth="1"/>
    <col min="17" max="17" width="6.7109375" customWidth="1"/>
    <col min="18" max="18" width="5.140625" customWidth="1"/>
    <col min="19" max="19" width="4.7109375" style="117" customWidth="1"/>
    <col min="20" max="20" width="5.28515625" style="117" customWidth="1"/>
    <col min="21" max="21" width="5.42578125" style="117" customWidth="1"/>
    <col min="22" max="22" width="10.140625" customWidth="1"/>
    <col min="23" max="23" width="10.7109375" customWidth="1"/>
    <col min="24" max="24" width="9.7109375" customWidth="1"/>
    <col min="25" max="25" width="8.42578125" customWidth="1"/>
    <col min="26" max="26" width="8" customWidth="1"/>
    <col min="27" max="27" width="8.7109375" customWidth="1"/>
    <col min="28" max="28" width="12.5703125" style="13" customWidth="1"/>
    <col min="29" max="29" width="14.42578125" customWidth="1"/>
    <col min="30" max="30" width="11.42578125" customWidth="1"/>
    <col min="31" max="31" width="12.42578125" customWidth="1"/>
    <col min="32" max="32" width="11.85546875" customWidth="1"/>
    <col min="33" max="33" width="6.42578125" hidden="1" customWidth="1"/>
    <col min="34" max="34" width="5.5703125" customWidth="1"/>
    <col min="35" max="35" width="7.7109375" customWidth="1"/>
    <col min="36" max="36" width="4.5703125" customWidth="1"/>
    <col min="37" max="37" width="7.42578125" customWidth="1"/>
    <col min="38" max="38" width="5.28515625" customWidth="1"/>
    <col min="39" max="39" width="7.7109375" customWidth="1"/>
    <col min="40" max="40" width="5.85546875" customWidth="1"/>
    <col min="41" max="41" width="7.42578125" customWidth="1"/>
    <col min="42" max="42" width="5.85546875" customWidth="1"/>
    <col min="43" max="43" width="7.7109375" customWidth="1"/>
    <col min="44" max="44" width="6.28515625" customWidth="1"/>
    <col min="45" max="45" width="8.140625" customWidth="1"/>
    <col min="46" max="46" width="6.85546875" customWidth="1"/>
    <col min="47" max="47" width="8.7109375" customWidth="1"/>
    <col min="48" max="48" width="5.28515625" customWidth="1"/>
    <col min="49" max="49" width="4.5703125" customWidth="1"/>
    <col min="50" max="50" width="5.140625" customWidth="1"/>
    <col min="51" max="51" width="4.42578125" customWidth="1"/>
    <col min="52" max="52" width="8.42578125" customWidth="1"/>
    <col min="53" max="53" width="4" customWidth="1"/>
    <col min="54" max="54" width="8.140625" customWidth="1"/>
    <col min="55" max="55" width="6.5703125" customWidth="1"/>
    <col min="56" max="56" width="10.140625" customWidth="1"/>
    <col min="57" max="57" width="8.5703125" customWidth="1"/>
    <col min="58" max="58" width="5" customWidth="1"/>
    <col min="59" max="59" width="10.140625" bestFit="1" customWidth="1"/>
    <col min="60" max="60" width="8.42578125" customWidth="1"/>
    <col min="61" max="62" width="7.85546875" customWidth="1"/>
    <col min="63" max="63" width="11.42578125" customWidth="1"/>
    <col min="64" max="64" width="12.5703125" customWidth="1"/>
    <col min="65" max="65" width="12.140625" customWidth="1"/>
    <col min="66" max="66" width="10.5703125" customWidth="1"/>
    <col min="67" max="67" width="13.28515625" customWidth="1"/>
  </cols>
  <sheetData>
    <row r="1" spans="2:67" ht="15.75" customHeight="1" x14ac:dyDescent="0.25">
      <c r="B1" s="67"/>
      <c r="C1" s="67"/>
      <c r="D1" s="67"/>
      <c r="E1" s="67"/>
      <c r="F1" s="67"/>
      <c r="G1" s="67"/>
      <c r="H1" s="67"/>
      <c r="I1" s="108"/>
      <c r="J1" s="67"/>
      <c r="K1" s="67"/>
      <c r="L1" s="67"/>
      <c r="M1" s="67"/>
      <c r="N1" s="67"/>
      <c r="O1" s="67"/>
      <c r="P1" s="67"/>
      <c r="Q1" s="67"/>
      <c r="R1" s="67"/>
      <c r="S1" s="113"/>
      <c r="T1" s="113"/>
      <c r="U1" s="113"/>
      <c r="V1" s="67"/>
      <c r="W1" s="67"/>
      <c r="X1" s="67"/>
      <c r="Y1" s="67"/>
      <c r="Z1" s="67"/>
      <c r="AA1" s="67"/>
      <c r="AB1" s="5"/>
    </row>
    <row r="2" spans="2:67" ht="15.75" customHeight="1" x14ac:dyDescent="0.25">
      <c r="B2" s="1" t="s">
        <v>0</v>
      </c>
      <c r="C2" s="2"/>
      <c r="D2" s="3"/>
      <c r="E2" s="4"/>
      <c r="F2" s="4"/>
      <c r="G2" s="4"/>
      <c r="H2" s="4"/>
      <c r="I2" s="4"/>
      <c r="J2" s="5"/>
      <c r="K2" s="5"/>
      <c r="L2" s="156"/>
      <c r="M2" s="7"/>
      <c r="N2" s="5"/>
      <c r="O2" s="5"/>
      <c r="P2" s="5"/>
      <c r="Q2" s="8" t="s">
        <v>1</v>
      </c>
      <c r="R2" s="9"/>
      <c r="S2" s="7"/>
      <c r="T2" s="7"/>
      <c r="U2" s="7"/>
      <c r="V2" s="9"/>
      <c r="W2" s="9" t="s">
        <v>2</v>
      </c>
      <c r="X2" s="10"/>
      <c r="Y2" s="10"/>
      <c r="Z2" s="10"/>
      <c r="AA2" s="10"/>
      <c r="AB2" s="11">
        <v>4</v>
      </c>
      <c r="AC2" s="11"/>
      <c r="AD2" s="11">
        <v>5</v>
      </c>
      <c r="AE2" s="11">
        <v>2</v>
      </c>
      <c r="AF2" s="11">
        <v>11</v>
      </c>
      <c r="AG2" s="10"/>
      <c r="AH2" s="10"/>
      <c r="AI2" s="10"/>
      <c r="AJ2" s="10"/>
      <c r="AK2" s="10"/>
      <c r="AL2" s="10"/>
      <c r="AM2" s="10"/>
      <c r="AN2" s="10"/>
      <c r="AO2" s="10"/>
      <c r="AP2" s="12"/>
      <c r="AQ2" s="12"/>
      <c r="AR2" s="12"/>
      <c r="AS2" s="12"/>
      <c r="AT2" s="12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</row>
    <row r="3" spans="2:67" ht="15.75" customHeight="1" x14ac:dyDescent="0.25">
      <c r="B3" s="14" t="s">
        <v>3</v>
      </c>
      <c r="C3" s="2"/>
      <c r="D3" s="3"/>
      <c r="E3" s="4"/>
      <c r="F3" s="4"/>
      <c r="G3" s="4"/>
      <c r="H3" s="4"/>
      <c r="I3" s="4"/>
      <c r="J3" s="5"/>
      <c r="K3" s="5"/>
      <c r="L3" s="156"/>
      <c r="M3" s="7"/>
      <c r="N3" s="5"/>
      <c r="O3" s="5"/>
      <c r="P3" s="5"/>
      <c r="Q3" s="8" t="s">
        <v>4</v>
      </c>
      <c r="R3" s="9"/>
      <c r="S3" s="7"/>
      <c r="T3" s="7"/>
      <c r="U3" s="7"/>
      <c r="V3" s="9"/>
      <c r="W3" s="9" t="s">
        <v>5</v>
      </c>
      <c r="X3" s="10"/>
      <c r="Y3" s="10"/>
      <c r="Z3" s="10"/>
      <c r="AA3" s="10"/>
      <c r="AB3" s="11">
        <v>4</v>
      </c>
      <c r="AC3" s="11"/>
      <c r="AD3" s="11">
        <v>4</v>
      </c>
      <c r="AE3" s="11">
        <v>2</v>
      </c>
      <c r="AF3" s="11">
        <v>10</v>
      </c>
      <c r="AG3" s="10"/>
      <c r="AH3" s="10"/>
      <c r="AI3" s="10"/>
      <c r="AJ3" s="10"/>
      <c r="AK3" s="10"/>
      <c r="AL3" s="10"/>
      <c r="AM3" s="10"/>
      <c r="AN3" s="10"/>
      <c r="AO3" s="10"/>
      <c r="AP3" s="12"/>
      <c r="AQ3" s="12"/>
      <c r="AR3" s="12"/>
      <c r="AS3" s="12"/>
      <c r="AT3" s="12"/>
      <c r="AU3" s="12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2:67" ht="15.75" customHeight="1" x14ac:dyDescent="0.25">
      <c r="B4" s="14" t="s">
        <v>6</v>
      </c>
      <c r="C4" s="2"/>
      <c r="D4" s="3"/>
      <c r="E4" s="4"/>
      <c r="F4" s="4"/>
      <c r="G4" s="4"/>
      <c r="H4" s="4"/>
      <c r="I4" s="4"/>
      <c r="J4" s="5"/>
      <c r="K4" s="5"/>
      <c r="L4" s="156"/>
      <c r="M4" s="7"/>
      <c r="N4" s="5"/>
      <c r="O4" s="5"/>
      <c r="P4" s="5"/>
      <c r="Q4" s="15" t="s">
        <v>7</v>
      </c>
      <c r="R4" s="9"/>
      <c r="S4" s="7"/>
      <c r="T4" s="7"/>
      <c r="U4" s="7"/>
      <c r="V4" s="9"/>
      <c r="W4" s="9" t="s">
        <v>8</v>
      </c>
      <c r="X4" s="10"/>
      <c r="Y4" s="10"/>
      <c r="Z4" s="10"/>
      <c r="AA4" s="10"/>
      <c r="AB4" s="11">
        <v>19</v>
      </c>
      <c r="AC4" s="11"/>
      <c r="AD4" s="11">
        <v>22</v>
      </c>
      <c r="AE4" s="11">
        <v>17</v>
      </c>
      <c r="AF4" s="11">
        <f>AE4+AD4+AB4</f>
        <v>58</v>
      </c>
      <c r="AG4" s="10"/>
      <c r="AH4" s="10"/>
      <c r="AI4" s="10"/>
      <c r="AJ4" s="10"/>
      <c r="AK4" s="10"/>
      <c r="AL4" s="10"/>
      <c r="AM4" s="10"/>
      <c r="AN4" s="10"/>
      <c r="AO4" s="10"/>
      <c r="AP4" s="12"/>
      <c r="AQ4" s="12"/>
      <c r="AR4" s="12"/>
      <c r="AS4" s="12"/>
      <c r="AT4" s="12"/>
      <c r="AU4" s="12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2:67" ht="15.75" customHeight="1" x14ac:dyDescent="0.25">
      <c r="B5" s="14" t="s">
        <v>228</v>
      </c>
      <c r="C5" s="16"/>
      <c r="D5" s="3"/>
      <c r="E5" s="4"/>
      <c r="F5" s="4"/>
      <c r="G5" s="4"/>
      <c r="H5" s="4"/>
      <c r="I5" s="4"/>
      <c r="J5" s="5"/>
      <c r="K5" s="5"/>
      <c r="L5" s="17"/>
      <c r="M5" s="7"/>
      <c r="N5" s="5"/>
      <c r="O5" s="5"/>
      <c r="P5" s="5"/>
      <c r="Q5" s="15" t="s">
        <v>228</v>
      </c>
      <c r="R5" s="9"/>
      <c r="S5" s="7"/>
      <c r="T5" s="7"/>
      <c r="U5" s="7"/>
      <c r="V5" s="18"/>
      <c r="W5" s="9" t="s">
        <v>9</v>
      </c>
      <c r="X5" s="10"/>
      <c r="Y5" s="10"/>
      <c r="Z5" s="10"/>
      <c r="AA5" s="10"/>
      <c r="AB5" s="19">
        <v>93</v>
      </c>
      <c r="AC5" s="19"/>
      <c r="AD5" s="11">
        <v>148</v>
      </c>
      <c r="AE5" s="20">
        <v>80</v>
      </c>
      <c r="AF5" s="21">
        <f>SUM(AB5:AE5)</f>
        <v>321</v>
      </c>
      <c r="AG5" s="22"/>
      <c r="AH5" s="22"/>
      <c r="AI5" s="22"/>
      <c r="AJ5" s="22"/>
      <c r="AK5" s="22"/>
      <c r="AL5" s="22"/>
      <c r="AM5" s="22"/>
      <c r="AN5" s="22"/>
      <c r="AO5" s="22"/>
      <c r="AP5" s="23"/>
      <c r="AQ5" s="23"/>
      <c r="AR5" s="23"/>
      <c r="AS5" s="23"/>
      <c r="AT5" s="23"/>
      <c r="AU5" s="2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</row>
    <row r="6" spans="2:67" ht="15.75" customHeight="1" x14ac:dyDescent="0.25">
      <c r="B6" s="5"/>
      <c r="C6" s="16"/>
      <c r="D6" s="3"/>
      <c r="E6" s="24"/>
      <c r="F6" s="24"/>
      <c r="G6" s="24"/>
      <c r="H6" s="24"/>
      <c r="I6" s="24"/>
      <c r="J6" s="16"/>
      <c r="K6" s="16"/>
      <c r="L6" s="16"/>
      <c r="M6" s="25"/>
      <c r="N6" s="26"/>
      <c r="O6" s="27"/>
      <c r="P6" s="27"/>
      <c r="Q6" s="28"/>
      <c r="R6" s="27"/>
      <c r="S6" s="83" t="s">
        <v>10</v>
      </c>
      <c r="T6" s="136">
        <v>1</v>
      </c>
      <c r="U6" s="136">
        <v>2</v>
      </c>
      <c r="V6" s="30">
        <v>3</v>
      </c>
      <c r="W6" s="30">
        <v>4</v>
      </c>
      <c r="X6" s="30">
        <v>5</v>
      </c>
      <c r="Y6" s="30">
        <v>6</v>
      </c>
      <c r="Z6" s="112">
        <v>7</v>
      </c>
      <c r="AA6" s="30">
        <v>8</v>
      </c>
      <c r="AB6" s="30">
        <v>9</v>
      </c>
      <c r="AC6" s="31"/>
      <c r="AD6" s="31">
        <v>10</v>
      </c>
      <c r="AE6" s="31">
        <v>11</v>
      </c>
      <c r="AF6" s="30" t="s">
        <v>11</v>
      </c>
      <c r="AG6" s="10"/>
      <c r="AH6" s="10"/>
      <c r="AI6" s="10"/>
      <c r="AJ6" s="10"/>
      <c r="AK6" s="10"/>
      <c r="AL6" s="10"/>
      <c r="AM6" s="10"/>
      <c r="AN6" s="10"/>
      <c r="AO6" s="10"/>
      <c r="AP6" s="12"/>
      <c r="AQ6" s="12"/>
      <c r="AR6" s="12"/>
      <c r="AS6" s="12"/>
      <c r="AT6" s="12"/>
      <c r="AU6" s="12"/>
      <c r="AV6" s="13"/>
      <c r="AW6" s="13"/>
      <c r="AX6" s="13"/>
      <c r="AY6" s="13"/>
      <c r="AZ6" s="13"/>
      <c r="BA6" s="12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2:67" ht="15.75" customHeight="1" x14ac:dyDescent="0.25">
      <c r="B7" s="5"/>
      <c r="C7" s="32" t="s">
        <v>12</v>
      </c>
      <c r="D7" s="3"/>
      <c r="E7" s="33"/>
      <c r="F7" s="33"/>
      <c r="G7" s="33"/>
      <c r="H7" s="33"/>
      <c r="I7" s="33"/>
      <c r="J7" s="16"/>
      <c r="K7" s="16"/>
      <c r="L7" s="16"/>
      <c r="M7" s="25"/>
      <c r="N7" s="34"/>
      <c r="O7" s="27"/>
      <c r="P7" s="27"/>
      <c r="Q7" s="28"/>
      <c r="R7" s="34" t="s">
        <v>13</v>
      </c>
      <c r="S7" s="74">
        <v>1</v>
      </c>
      <c r="T7" s="74">
        <v>1</v>
      </c>
      <c r="U7" s="1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/>
      <c r="AD7" s="11">
        <v>1</v>
      </c>
      <c r="AE7" s="11">
        <v>1</v>
      </c>
      <c r="AF7" s="11">
        <f>SUM(S7:AE7)</f>
        <v>12</v>
      </c>
      <c r="AG7" s="10"/>
      <c r="AH7" s="10"/>
      <c r="AI7" s="10"/>
      <c r="AJ7" s="10"/>
      <c r="AK7" s="10"/>
      <c r="AL7" s="10"/>
      <c r="AM7" s="10"/>
      <c r="AN7" s="10"/>
      <c r="AO7" s="10"/>
      <c r="AP7" s="12"/>
      <c r="AQ7" s="12"/>
      <c r="AR7" s="12"/>
      <c r="AS7" s="12"/>
      <c r="AT7" s="12"/>
      <c r="AU7" s="12"/>
      <c r="AV7" s="13"/>
      <c r="AW7" s="13"/>
      <c r="AX7" s="13"/>
      <c r="AY7" s="13"/>
      <c r="AZ7" s="13"/>
      <c r="BA7" s="12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</row>
    <row r="8" spans="2:67" ht="15.75" customHeight="1" x14ac:dyDescent="0.25">
      <c r="B8" s="1" t="s">
        <v>229</v>
      </c>
      <c r="C8" s="16"/>
      <c r="D8" s="3"/>
      <c r="E8" s="24"/>
      <c r="F8" s="24"/>
      <c r="G8" s="24"/>
      <c r="H8" s="24"/>
      <c r="I8" s="24"/>
      <c r="J8" s="16"/>
      <c r="K8" s="16"/>
      <c r="L8" s="16"/>
      <c r="M8" s="25"/>
      <c r="N8" s="34"/>
      <c r="O8" s="27"/>
      <c r="P8" s="27"/>
      <c r="Q8" s="28"/>
      <c r="R8" s="34" t="s">
        <v>14</v>
      </c>
      <c r="S8" s="74">
        <v>1</v>
      </c>
      <c r="T8" s="74">
        <v>1</v>
      </c>
      <c r="U8" s="111">
        <v>1</v>
      </c>
      <c r="V8" s="11">
        <v>1</v>
      </c>
      <c r="W8" s="111">
        <v>1</v>
      </c>
      <c r="X8" s="111">
        <v>0.5</v>
      </c>
      <c r="Y8" s="11">
        <v>0.5</v>
      </c>
      <c r="Z8" s="11">
        <v>1</v>
      </c>
      <c r="AA8" s="11">
        <v>1</v>
      </c>
      <c r="AB8" s="11">
        <v>1</v>
      </c>
      <c r="AC8" s="11"/>
      <c r="AD8" s="11">
        <v>1</v>
      </c>
      <c r="AE8" s="11">
        <v>1</v>
      </c>
      <c r="AF8" s="11">
        <f>SUM(S8:AE8)</f>
        <v>11</v>
      </c>
      <c r="AG8" s="10"/>
      <c r="AH8" s="10"/>
      <c r="AI8" s="10"/>
      <c r="AJ8" s="10"/>
      <c r="AK8" s="10"/>
      <c r="AL8" s="10"/>
      <c r="AM8" s="10"/>
      <c r="AN8" s="10"/>
      <c r="AO8" s="10"/>
      <c r="AP8" s="12"/>
      <c r="AQ8" s="12"/>
      <c r="AR8" s="12"/>
      <c r="AS8" s="12"/>
      <c r="AT8" s="12"/>
      <c r="AU8" s="12"/>
      <c r="AV8" s="13"/>
      <c r="AW8" s="13"/>
      <c r="AX8" s="13"/>
      <c r="AY8" s="13"/>
      <c r="AZ8" s="13"/>
      <c r="BA8" s="12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</row>
    <row r="9" spans="2:67" ht="15.75" customHeight="1" thickBot="1" x14ac:dyDescent="0.3">
      <c r="B9" s="1" t="s">
        <v>15</v>
      </c>
      <c r="C9" s="16"/>
      <c r="D9" s="17"/>
      <c r="E9" s="24"/>
      <c r="F9" s="24"/>
      <c r="G9" s="24"/>
      <c r="H9" s="24"/>
      <c r="I9" s="24"/>
      <c r="J9" s="16"/>
      <c r="K9" s="16"/>
      <c r="L9" s="16"/>
      <c r="M9" s="25"/>
      <c r="N9" s="34"/>
      <c r="O9" s="27"/>
      <c r="P9" s="27"/>
      <c r="Q9" s="28"/>
      <c r="R9" s="34" t="s">
        <v>16</v>
      </c>
      <c r="S9" s="137">
        <v>3</v>
      </c>
      <c r="T9" s="137">
        <v>6</v>
      </c>
      <c r="U9" s="137">
        <v>4</v>
      </c>
      <c r="V9" s="111">
        <v>5</v>
      </c>
      <c r="W9" s="111">
        <v>4</v>
      </c>
      <c r="X9" s="111">
        <v>5</v>
      </c>
      <c r="Y9" s="111">
        <v>2</v>
      </c>
      <c r="Z9" s="111">
        <v>7</v>
      </c>
      <c r="AA9" s="111">
        <v>3</v>
      </c>
      <c r="AB9" s="111">
        <v>5</v>
      </c>
      <c r="AC9" s="74"/>
      <c r="AD9" s="11">
        <v>9</v>
      </c>
      <c r="AE9" s="11">
        <v>8</v>
      </c>
      <c r="AF9" s="11">
        <f>SUM(S9:AE9)</f>
        <v>61</v>
      </c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12"/>
      <c r="AR9" s="12"/>
      <c r="AS9" s="12"/>
      <c r="AT9" s="12"/>
      <c r="AU9" s="12"/>
      <c r="AV9" s="13"/>
      <c r="AW9" s="13"/>
      <c r="AX9" s="13"/>
      <c r="AY9" s="13"/>
      <c r="AZ9" s="13"/>
      <c r="BA9" s="35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2:67" ht="15.75" customHeight="1" thickBot="1" x14ac:dyDescent="0.3">
      <c r="B10" s="177" t="s">
        <v>17</v>
      </c>
      <c r="C10" s="180" t="s">
        <v>18</v>
      </c>
      <c r="D10" s="183" t="s">
        <v>19</v>
      </c>
      <c r="E10" s="177" t="s">
        <v>20</v>
      </c>
      <c r="F10" s="186" t="s">
        <v>21</v>
      </c>
      <c r="G10" s="186"/>
      <c r="H10" s="186"/>
      <c r="I10" s="186"/>
      <c r="J10" s="186"/>
      <c r="K10" s="180" t="s">
        <v>22</v>
      </c>
      <c r="L10" s="180" t="s">
        <v>23</v>
      </c>
      <c r="M10" s="202" t="s">
        <v>24</v>
      </c>
      <c r="N10" s="205" t="s">
        <v>25</v>
      </c>
      <c r="O10" s="205" t="s">
        <v>26</v>
      </c>
      <c r="P10" s="197" t="s">
        <v>27</v>
      </c>
      <c r="Q10" s="197"/>
      <c r="R10" s="197"/>
      <c r="S10" s="197" t="s">
        <v>28</v>
      </c>
      <c r="T10" s="197"/>
      <c r="U10" s="197"/>
      <c r="V10" s="201" t="s">
        <v>29</v>
      </c>
      <c r="W10" s="201"/>
      <c r="X10" s="201"/>
      <c r="Y10" s="201"/>
      <c r="Z10" s="201"/>
      <c r="AA10" s="201"/>
      <c r="AB10" s="201"/>
      <c r="AC10" s="198">
        <v>0.5</v>
      </c>
      <c r="AD10" s="170" t="s">
        <v>30</v>
      </c>
      <c r="AE10" s="189" t="s">
        <v>31</v>
      </c>
      <c r="AF10" s="170" t="s">
        <v>32</v>
      </c>
      <c r="AG10" s="221" t="s">
        <v>33</v>
      </c>
      <c r="AH10" s="188" t="s">
        <v>34</v>
      </c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219" t="s">
        <v>35</v>
      </c>
      <c r="AU10" s="219"/>
      <c r="AV10" s="206" t="s">
        <v>36</v>
      </c>
      <c r="AW10" s="206"/>
      <c r="AX10" s="206"/>
      <c r="AY10" s="206"/>
      <c r="AZ10" s="206"/>
      <c r="BA10" s="220" t="s">
        <v>37</v>
      </c>
      <c r="BB10" s="220"/>
      <c r="BC10" s="210" t="s">
        <v>193</v>
      </c>
      <c r="BD10" s="210">
        <v>0.3</v>
      </c>
      <c r="BE10" s="210" t="s">
        <v>38</v>
      </c>
      <c r="BF10" s="210" t="s">
        <v>39</v>
      </c>
      <c r="BG10" s="207" t="s">
        <v>40</v>
      </c>
      <c r="BH10" s="210" t="s">
        <v>211</v>
      </c>
      <c r="BI10" s="210" t="s">
        <v>210</v>
      </c>
      <c r="BJ10" s="210" t="s">
        <v>242</v>
      </c>
      <c r="BK10" s="207" t="s">
        <v>41</v>
      </c>
      <c r="BL10" s="210" t="s">
        <v>42</v>
      </c>
      <c r="BM10" s="210" t="s">
        <v>43</v>
      </c>
      <c r="BN10" s="210" t="s">
        <v>44</v>
      </c>
      <c r="BO10" s="206" t="s">
        <v>245</v>
      </c>
    </row>
    <row r="11" spans="2:67" ht="15.75" customHeight="1" x14ac:dyDescent="0.25">
      <c r="B11" s="178"/>
      <c r="C11" s="181"/>
      <c r="D11" s="184"/>
      <c r="E11" s="178"/>
      <c r="F11" s="186"/>
      <c r="G11" s="186"/>
      <c r="H11" s="186"/>
      <c r="I11" s="186"/>
      <c r="J11" s="186"/>
      <c r="K11" s="181"/>
      <c r="L11" s="181"/>
      <c r="M11" s="203"/>
      <c r="N11" s="205"/>
      <c r="O11" s="205"/>
      <c r="P11" s="197"/>
      <c r="Q11" s="197"/>
      <c r="R11" s="197"/>
      <c r="S11" s="197"/>
      <c r="T11" s="197"/>
      <c r="U11" s="197"/>
      <c r="V11" s="201"/>
      <c r="W11" s="201"/>
      <c r="X11" s="201"/>
      <c r="Y11" s="201"/>
      <c r="Z11" s="201"/>
      <c r="AA11" s="201"/>
      <c r="AB11" s="201"/>
      <c r="AC11" s="199"/>
      <c r="AD11" s="171"/>
      <c r="AE11" s="178"/>
      <c r="AF11" s="171"/>
      <c r="AG11" s="221"/>
      <c r="AH11" s="191" t="s">
        <v>45</v>
      </c>
      <c r="AI11" s="191"/>
      <c r="AJ11" s="191"/>
      <c r="AK11" s="191"/>
      <c r="AL11" s="191"/>
      <c r="AM11" s="191"/>
      <c r="AN11" s="191" t="s">
        <v>46</v>
      </c>
      <c r="AO11" s="191"/>
      <c r="AP11" s="191"/>
      <c r="AQ11" s="191"/>
      <c r="AR11" s="191"/>
      <c r="AS11" s="191"/>
      <c r="AT11" s="219"/>
      <c r="AU11" s="219"/>
      <c r="AV11" s="206"/>
      <c r="AW11" s="206"/>
      <c r="AX11" s="206"/>
      <c r="AY11" s="206"/>
      <c r="AZ11" s="206"/>
      <c r="BA11" s="220"/>
      <c r="BB11" s="220"/>
      <c r="BC11" s="199"/>
      <c r="BD11" s="199"/>
      <c r="BE11" s="199"/>
      <c r="BF11" s="213"/>
      <c r="BG11" s="208"/>
      <c r="BH11" s="199"/>
      <c r="BI11" s="199"/>
      <c r="BJ11" s="213"/>
      <c r="BK11" s="211"/>
      <c r="BL11" s="213"/>
      <c r="BM11" s="215"/>
      <c r="BN11" s="215"/>
      <c r="BO11" s="206"/>
    </row>
    <row r="12" spans="2:67" ht="15.75" customHeight="1" thickBot="1" x14ac:dyDescent="0.3">
      <c r="B12" s="178"/>
      <c r="C12" s="181"/>
      <c r="D12" s="184"/>
      <c r="E12" s="178"/>
      <c r="F12" s="173" t="s">
        <v>47</v>
      </c>
      <c r="G12" s="222" t="s">
        <v>48</v>
      </c>
      <c r="H12" s="222"/>
      <c r="I12" s="223" t="s">
        <v>49</v>
      </c>
      <c r="J12" s="196" t="s">
        <v>50</v>
      </c>
      <c r="K12" s="181"/>
      <c r="L12" s="181"/>
      <c r="M12" s="203"/>
      <c r="N12" s="205"/>
      <c r="O12" s="205"/>
      <c r="P12" s="197"/>
      <c r="Q12" s="197"/>
      <c r="R12" s="197"/>
      <c r="S12" s="197"/>
      <c r="T12" s="197"/>
      <c r="U12" s="197"/>
      <c r="V12" s="197" t="s">
        <v>51</v>
      </c>
      <c r="W12" s="197"/>
      <c r="X12" s="197"/>
      <c r="Y12" s="197" t="s">
        <v>52</v>
      </c>
      <c r="Z12" s="197"/>
      <c r="AA12" s="197"/>
      <c r="AB12" s="197" t="s">
        <v>53</v>
      </c>
      <c r="AC12" s="199"/>
      <c r="AD12" s="171"/>
      <c r="AE12" s="178"/>
      <c r="AF12" s="171"/>
      <c r="AG12" s="221"/>
      <c r="AH12" s="190" t="s">
        <v>208</v>
      </c>
      <c r="AI12" s="190"/>
      <c r="AJ12" s="190" t="s">
        <v>215</v>
      </c>
      <c r="AK12" s="190"/>
      <c r="AL12" s="188" t="s">
        <v>53</v>
      </c>
      <c r="AM12" s="188"/>
      <c r="AN12" s="188" t="s">
        <v>215</v>
      </c>
      <c r="AO12" s="188"/>
      <c r="AP12" s="188" t="s">
        <v>208</v>
      </c>
      <c r="AQ12" s="188"/>
      <c r="AR12" s="195" t="s">
        <v>53</v>
      </c>
      <c r="AS12" s="195"/>
      <c r="AT12" s="219"/>
      <c r="AU12" s="219"/>
      <c r="AV12" s="206"/>
      <c r="AW12" s="206"/>
      <c r="AX12" s="206"/>
      <c r="AY12" s="206"/>
      <c r="AZ12" s="206"/>
      <c r="BA12" s="220"/>
      <c r="BB12" s="220"/>
      <c r="BC12" s="199"/>
      <c r="BD12" s="199"/>
      <c r="BE12" s="199"/>
      <c r="BF12" s="213"/>
      <c r="BG12" s="208"/>
      <c r="BH12" s="199"/>
      <c r="BI12" s="199"/>
      <c r="BJ12" s="213"/>
      <c r="BK12" s="211"/>
      <c r="BL12" s="213"/>
      <c r="BM12" s="215"/>
      <c r="BN12" s="215"/>
      <c r="BO12" s="206"/>
    </row>
    <row r="13" spans="2:67" ht="15.75" customHeight="1" thickBot="1" x14ac:dyDescent="0.3">
      <c r="B13" s="178"/>
      <c r="C13" s="181"/>
      <c r="D13" s="184"/>
      <c r="E13" s="178"/>
      <c r="F13" s="173"/>
      <c r="G13" s="222"/>
      <c r="H13" s="222"/>
      <c r="I13" s="223"/>
      <c r="J13" s="196"/>
      <c r="K13" s="181"/>
      <c r="L13" s="181"/>
      <c r="M13" s="203"/>
      <c r="N13" s="205"/>
      <c r="O13" s="205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9"/>
      <c r="AD13" s="171"/>
      <c r="AE13" s="178"/>
      <c r="AF13" s="171"/>
      <c r="AG13" s="158" t="s">
        <v>54</v>
      </c>
      <c r="AH13" s="187" t="s">
        <v>55</v>
      </c>
      <c r="AI13" s="188" t="s">
        <v>56</v>
      </c>
      <c r="AJ13" s="188" t="s">
        <v>57</v>
      </c>
      <c r="AK13" s="188"/>
      <c r="AL13" s="188"/>
      <c r="AM13" s="188"/>
      <c r="AN13" s="188" t="s">
        <v>58</v>
      </c>
      <c r="AO13" s="188"/>
      <c r="AP13" s="194" t="s">
        <v>59</v>
      </c>
      <c r="AQ13" s="194"/>
      <c r="AR13" s="195"/>
      <c r="AS13" s="195"/>
      <c r="AT13" s="219"/>
      <c r="AU13" s="219"/>
      <c r="AV13" s="176" t="s">
        <v>60</v>
      </c>
      <c r="AW13" s="174" t="s">
        <v>61</v>
      </c>
      <c r="AX13" s="175"/>
      <c r="AY13" s="176"/>
      <c r="AZ13" s="192" t="s">
        <v>56</v>
      </c>
      <c r="BA13" s="220"/>
      <c r="BB13" s="220"/>
      <c r="BC13" s="199"/>
      <c r="BD13" s="199"/>
      <c r="BE13" s="199"/>
      <c r="BF13" s="213"/>
      <c r="BG13" s="208"/>
      <c r="BH13" s="199"/>
      <c r="BI13" s="199"/>
      <c r="BJ13" s="213"/>
      <c r="BK13" s="211"/>
      <c r="BL13" s="213"/>
      <c r="BM13" s="215"/>
      <c r="BN13" s="215"/>
      <c r="BO13" s="206"/>
    </row>
    <row r="14" spans="2:67" ht="15.75" customHeight="1" thickBot="1" x14ac:dyDescent="0.3">
      <c r="B14" s="179"/>
      <c r="C14" s="182"/>
      <c r="D14" s="185"/>
      <c r="E14" s="179"/>
      <c r="F14" s="173"/>
      <c r="G14" s="159" t="s">
        <v>62</v>
      </c>
      <c r="H14" s="159" t="s">
        <v>63</v>
      </c>
      <c r="I14" s="223"/>
      <c r="J14" s="196"/>
      <c r="K14" s="182"/>
      <c r="L14" s="182"/>
      <c r="M14" s="204"/>
      <c r="N14" s="205"/>
      <c r="O14" s="205"/>
      <c r="P14" s="161" t="s">
        <v>64</v>
      </c>
      <c r="Q14" s="161" t="s">
        <v>65</v>
      </c>
      <c r="R14" s="70" t="s">
        <v>66</v>
      </c>
      <c r="S14" s="161" t="s">
        <v>64</v>
      </c>
      <c r="T14" s="161" t="s">
        <v>65</v>
      </c>
      <c r="U14" s="70" t="s">
        <v>66</v>
      </c>
      <c r="V14" s="161" t="s">
        <v>45</v>
      </c>
      <c r="W14" s="161" t="s">
        <v>65</v>
      </c>
      <c r="X14" s="70" t="s">
        <v>66</v>
      </c>
      <c r="Y14" s="161" t="s">
        <v>45</v>
      </c>
      <c r="Z14" s="161" t="s">
        <v>65</v>
      </c>
      <c r="AA14" s="70" t="s">
        <v>66</v>
      </c>
      <c r="AB14" s="197"/>
      <c r="AC14" s="200"/>
      <c r="AD14" s="172"/>
      <c r="AE14" s="179"/>
      <c r="AF14" s="172"/>
      <c r="AG14" s="37" t="s">
        <v>67</v>
      </c>
      <c r="AH14" s="187"/>
      <c r="AI14" s="188"/>
      <c r="AJ14" s="162" t="s">
        <v>68</v>
      </c>
      <c r="AK14" s="162" t="s">
        <v>56</v>
      </c>
      <c r="AL14" s="39" t="s">
        <v>68</v>
      </c>
      <c r="AM14" s="39" t="s">
        <v>56</v>
      </c>
      <c r="AN14" s="39" t="s">
        <v>68</v>
      </c>
      <c r="AO14" s="39" t="s">
        <v>56</v>
      </c>
      <c r="AP14" s="39" t="s">
        <v>68</v>
      </c>
      <c r="AQ14" s="39" t="s">
        <v>56</v>
      </c>
      <c r="AR14" s="40" t="s">
        <v>68</v>
      </c>
      <c r="AS14" s="40" t="s">
        <v>56</v>
      </c>
      <c r="AT14" s="157" t="s">
        <v>68</v>
      </c>
      <c r="AU14" s="157" t="s">
        <v>56</v>
      </c>
      <c r="AV14" s="193"/>
      <c r="AW14" s="42" t="s">
        <v>69</v>
      </c>
      <c r="AX14" s="42" t="s">
        <v>70</v>
      </c>
      <c r="AY14" s="42" t="s">
        <v>71</v>
      </c>
      <c r="AZ14" s="193"/>
      <c r="BA14" s="160">
        <v>0.2</v>
      </c>
      <c r="BB14" s="160" t="s">
        <v>56</v>
      </c>
      <c r="BC14" s="200"/>
      <c r="BD14" s="200"/>
      <c r="BE14" s="200"/>
      <c r="BF14" s="214"/>
      <c r="BG14" s="209"/>
      <c r="BH14" s="200"/>
      <c r="BI14" s="200"/>
      <c r="BJ14" s="214"/>
      <c r="BK14" s="212"/>
      <c r="BL14" s="214"/>
      <c r="BM14" s="216"/>
      <c r="BN14" s="216"/>
      <c r="BO14" s="206"/>
    </row>
    <row r="15" spans="2:67" ht="15.75" customHeight="1" x14ac:dyDescent="0.25">
      <c r="B15" s="71" t="s">
        <v>72</v>
      </c>
      <c r="C15" s="71" t="s">
        <v>73</v>
      </c>
      <c r="D15" s="71" t="s">
        <v>74</v>
      </c>
      <c r="E15" s="71" t="s">
        <v>75</v>
      </c>
      <c r="F15" s="71">
        <v>1</v>
      </c>
      <c r="G15" s="71">
        <v>2</v>
      </c>
      <c r="H15" s="71">
        <v>3</v>
      </c>
      <c r="I15" s="71">
        <v>4</v>
      </c>
      <c r="J15" s="71">
        <v>5</v>
      </c>
      <c r="K15" s="71">
        <v>6</v>
      </c>
      <c r="L15" s="71">
        <v>7</v>
      </c>
      <c r="M15" s="71">
        <v>8</v>
      </c>
      <c r="N15" s="71">
        <v>9</v>
      </c>
      <c r="O15" s="71">
        <v>10</v>
      </c>
      <c r="P15" s="71">
        <v>11</v>
      </c>
      <c r="Q15" s="71">
        <v>12</v>
      </c>
      <c r="R15" s="71">
        <v>13</v>
      </c>
      <c r="S15" s="71">
        <v>14</v>
      </c>
      <c r="T15" s="71">
        <v>15</v>
      </c>
      <c r="U15" s="71">
        <v>16</v>
      </c>
      <c r="V15" s="71">
        <v>17</v>
      </c>
      <c r="W15" s="71">
        <v>18</v>
      </c>
      <c r="X15" s="71">
        <v>19</v>
      </c>
      <c r="Y15" s="71">
        <v>20</v>
      </c>
      <c r="Z15" s="71">
        <v>21</v>
      </c>
      <c r="AA15" s="71">
        <v>22</v>
      </c>
      <c r="AB15" s="71">
        <v>23</v>
      </c>
      <c r="AC15" s="44">
        <v>24</v>
      </c>
      <c r="AD15" s="44">
        <v>25</v>
      </c>
      <c r="AE15" s="44">
        <v>26</v>
      </c>
      <c r="AF15" s="44">
        <v>27</v>
      </c>
      <c r="AG15" s="44">
        <v>28</v>
      </c>
      <c r="AH15" s="44">
        <v>29</v>
      </c>
      <c r="AI15" s="44">
        <v>30</v>
      </c>
      <c r="AJ15" s="44">
        <v>31</v>
      </c>
      <c r="AK15" s="44">
        <v>32</v>
      </c>
      <c r="AL15" s="44">
        <v>33</v>
      </c>
      <c r="AM15" s="44">
        <v>34</v>
      </c>
      <c r="AN15" s="44">
        <v>35</v>
      </c>
      <c r="AO15" s="44">
        <v>36</v>
      </c>
      <c r="AP15" s="44">
        <v>37</v>
      </c>
      <c r="AQ15" s="44">
        <v>38</v>
      </c>
      <c r="AR15" s="44">
        <v>39</v>
      </c>
      <c r="AS15" s="44">
        <v>40</v>
      </c>
      <c r="AT15" s="44">
        <v>41</v>
      </c>
      <c r="AU15" s="44">
        <v>42</v>
      </c>
      <c r="AV15" s="44">
        <v>43</v>
      </c>
      <c r="AW15" s="44">
        <v>44</v>
      </c>
      <c r="AX15" s="44">
        <v>45</v>
      </c>
      <c r="AY15" s="44">
        <v>46</v>
      </c>
      <c r="AZ15" s="44">
        <v>47</v>
      </c>
      <c r="BA15" s="44">
        <v>48</v>
      </c>
      <c r="BB15" s="44">
        <v>49</v>
      </c>
      <c r="BC15" s="44">
        <v>50</v>
      </c>
      <c r="BD15" s="44">
        <v>51</v>
      </c>
      <c r="BE15" s="44">
        <v>52</v>
      </c>
      <c r="BF15" s="44">
        <v>53</v>
      </c>
      <c r="BG15" s="44">
        <v>54</v>
      </c>
      <c r="BH15" s="44">
        <v>55</v>
      </c>
      <c r="BI15" s="44">
        <v>57</v>
      </c>
      <c r="BJ15" s="141"/>
      <c r="BK15" s="44" t="s">
        <v>207</v>
      </c>
      <c r="BL15" s="44">
        <v>59</v>
      </c>
      <c r="BM15" s="44">
        <v>60</v>
      </c>
      <c r="BN15" s="44">
        <v>61</v>
      </c>
      <c r="BO15" s="44">
        <v>62</v>
      </c>
    </row>
    <row r="16" spans="2:67" ht="15.75" customHeight="1" x14ac:dyDescent="0.25">
      <c r="B16" s="72" t="s">
        <v>76</v>
      </c>
      <c r="C16" s="73" t="s">
        <v>77</v>
      </c>
      <c r="D16" s="72" t="s">
        <v>78</v>
      </c>
      <c r="E16" s="72" t="s">
        <v>79</v>
      </c>
      <c r="F16" s="74">
        <v>26</v>
      </c>
      <c r="G16" s="75">
        <v>42529</v>
      </c>
      <c r="H16" s="75">
        <v>44355</v>
      </c>
      <c r="I16" s="72" t="s">
        <v>80</v>
      </c>
      <c r="J16" s="72" t="s">
        <v>106</v>
      </c>
      <c r="K16" s="74" t="s">
        <v>81</v>
      </c>
      <c r="L16" s="76">
        <v>9.09</v>
      </c>
      <c r="M16" s="76">
        <v>4.79</v>
      </c>
      <c r="N16" s="77">
        <v>17697</v>
      </c>
      <c r="O16" s="78">
        <f t="shared" ref="O16:O46" si="0">SUM(N16*M16)</f>
        <v>84768.63</v>
      </c>
      <c r="P16" s="74"/>
      <c r="Q16" s="74">
        <v>4</v>
      </c>
      <c r="R16" s="74">
        <v>4</v>
      </c>
      <c r="S16" s="114"/>
      <c r="T16" s="114"/>
      <c r="U16" s="114"/>
      <c r="V16" s="78">
        <f>O16/18*P16</f>
        <v>0</v>
      </c>
      <c r="W16" s="78">
        <f>O16/18*Q16</f>
        <v>18837.473333333335</v>
      </c>
      <c r="X16" s="78">
        <f>O16/18*R16</f>
        <v>18837.473333333335</v>
      </c>
      <c r="Y16" s="79"/>
      <c r="Z16" s="79"/>
      <c r="AA16" s="79"/>
      <c r="AB16" s="78">
        <f>V16+W16+X16+Y16+Z16+AA16</f>
        <v>37674.94666666667</v>
      </c>
      <c r="AC16" s="78">
        <f>AB16*50%</f>
        <v>18837.473333333335</v>
      </c>
      <c r="AD16" s="78">
        <f>(AB16+AC16)*25%</f>
        <v>14128.105000000001</v>
      </c>
      <c r="AE16" s="78">
        <f>(AB16+AC16+AD16)*10%</f>
        <v>7064.0525000000016</v>
      </c>
      <c r="AF16" s="78">
        <f>AB16+AC16+AD16+AE16</f>
        <v>77704.577500000014</v>
      </c>
      <c r="AG16" s="120"/>
      <c r="AH16" s="125"/>
      <c r="AI16" s="125">
        <f t="shared" ref="AI16:AI22" ca="1" si="1">O16/18*AI:AT*40%</f>
        <v>0</v>
      </c>
      <c r="AJ16" s="125"/>
      <c r="AK16" s="125">
        <f t="shared" ref="AK16:AQ31" si="2">P16/18*2*40%</f>
        <v>0</v>
      </c>
      <c r="AL16" s="125">
        <f t="shared" si="2"/>
        <v>0.17777777777777778</v>
      </c>
      <c r="AM16" s="125">
        <f t="shared" si="2"/>
        <v>0.17777777777777778</v>
      </c>
      <c r="AN16" s="125">
        <f t="shared" si="2"/>
        <v>0</v>
      </c>
      <c r="AO16" s="125">
        <f t="shared" si="2"/>
        <v>0</v>
      </c>
      <c r="AP16" s="125">
        <f t="shared" si="2"/>
        <v>0</v>
      </c>
      <c r="AQ16" s="125">
        <f t="shared" si="2"/>
        <v>0</v>
      </c>
      <c r="AR16" s="125">
        <f>AN16+AP16</f>
        <v>0</v>
      </c>
      <c r="AS16" s="125">
        <f>AO16+AQ16</f>
        <v>0</v>
      </c>
      <c r="AT16" s="125">
        <f>AL16+AR16</f>
        <v>0.17777777777777778</v>
      </c>
      <c r="AU16" s="125">
        <f>AM16+AS16</f>
        <v>0.17777777777777778</v>
      </c>
      <c r="AV16" s="126"/>
      <c r="AW16" s="126"/>
      <c r="AX16" s="127"/>
      <c r="AY16" s="126"/>
      <c r="AZ16" s="128">
        <f>(AW16*AV16*50%+Q16*AX16*50%)+(Q16*AY16*60%)</f>
        <v>0</v>
      </c>
      <c r="BA16" s="129"/>
      <c r="BB16" s="129"/>
      <c r="BC16" s="126">
        <v>10</v>
      </c>
      <c r="BD16" s="125">
        <f>(AB16+AC16+AD16+AB60+AC60+AD60)*30%</f>
        <v>26490.196874999998</v>
      </c>
      <c r="BE16" s="125">
        <f>N16*10%*10</f>
        <v>17697</v>
      </c>
      <c r="BF16" s="125">
        <v>10</v>
      </c>
      <c r="BG16" s="125">
        <f>(AB16+AC16+AD16+AB60+AC60+AD60)*35%</f>
        <v>30905.229687499999</v>
      </c>
      <c r="BH16" s="126"/>
      <c r="BI16" s="126">
        <f>2917*10</f>
        <v>29170</v>
      </c>
      <c r="BJ16" s="126"/>
      <c r="BK16" s="120">
        <f t="shared" ref="BK16:BK22" si="3">AG16+AS16+AZ16+BB16+BD16+BE16+BG16+BH16+BI16</f>
        <v>104262.4265625</v>
      </c>
      <c r="BL16" s="120">
        <f t="shared" ref="BL16:BL45" si="4">AF16+BK16</f>
        <v>181967.00406250003</v>
      </c>
      <c r="BM16" s="120">
        <f t="shared" ref="BM16:BM44" si="5">AC16+AD16+AE16+BD16+BE16</f>
        <v>84216.827708333338</v>
      </c>
      <c r="BN16" s="120">
        <f>BL16-BM16</f>
        <v>97750.176354166688</v>
      </c>
      <c r="BO16" s="120">
        <f>BL16*12</f>
        <v>2183604.0487500001</v>
      </c>
    </row>
    <row r="17" spans="2:67" ht="15.75" customHeight="1" x14ac:dyDescent="0.25">
      <c r="B17" s="80" t="s">
        <v>82</v>
      </c>
      <c r="C17" s="74" t="s">
        <v>83</v>
      </c>
      <c r="D17" s="72" t="s">
        <v>84</v>
      </c>
      <c r="E17" s="72" t="s">
        <v>79</v>
      </c>
      <c r="F17" s="74">
        <v>46</v>
      </c>
      <c r="G17" s="75">
        <v>43458</v>
      </c>
      <c r="H17" s="75">
        <v>45284</v>
      </c>
      <c r="I17" s="72" t="s">
        <v>85</v>
      </c>
      <c r="J17" s="72" t="s">
        <v>92</v>
      </c>
      <c r="K17" s="74" t="s">
        <v>87</v>
      </c>
      <c r="L17" s="76">
        <v>33.049999999999997</v>
      </c>
      <c r="M17" s="82">
        <v>5.41</v>
      </c>
      <c r="N17" s="77">
        <v>17697</v>
      </c>
      <c r="O17" s="78">
        <f t="shared" si="0"/>
        <v>95740.77</v>
      </c>
      <c r="P17" s="74"/>
      <c r="Q17" s="79">
        <v>5</v>
      </c>
      <c r="R17" s="74">
        <v>4</v>
      </c>
      <c r="S17" s="114"/>
      <c r="T17" s="115"/>
      <c r="U17" s="114"/>
      <c r="V17" s="78">
        <f t="shared" ref="V17:V44" si="6">O17/18*P17</f>
        <v>0</v>
      </c>
      <c r="W17" s="78">
        <f t="shared" ref="W17:W44" si="7">O17/18*Q17</f>
        <v>26594.658333333336</v>
      </c>
      <c r="X17" s="78">
        <f t="shared" ref="X17:X44" si="8">O17/18*R17</f>
        <v>21275.726666666669</v>
      </c>
      <c r="Y17" s="79"/>
      <c r="Z17" s="79"/>
      <c r="AA17" s="79"/>
      <c r="AB17" s="78">
        <f t="shared" ref="AB17:AB44" si="9">V17+W17+X17+Y17+Z17+AA17</f>
        <v>47870.385000000009</v>
      </c>
      <c r="AC17" s="78">
        <f t="shared" ref="AC17:AC44" si="10">AB17*50%</f>
        <v>23935.192500000005</v>
      </c>
      <c r="AD17" s="78">
        <f t="shared" ref="AD17:AD79" si="11">(AB17+AC17)*25%</f>
        <v>17951.394375000003</v>
      </c>
      <c r="AE17" s="78">
        <f t="shared" ref="AE17:AE44" si="12">(AB17+AC17+AD17)*10%</f>
        <v>8975.6971875000017</v>
      </c>
      <c r="AF17" s="78">
        <f t="shared" ref="AF17:AF44" si="13">AB17+AC17+AD17+AE17</f>
        <v>98732.669062500019</v>
      </c>
      <c r="AG17" s="120"/>
      <c r="AH17" s="125"/>
      <c r="AI17" s="125">
        <f t="shared" ca="1" si="1"/>
        <v>0</v>
      </c>
      <c r="AJ17" s="125"/>
      <c r="AK17" s="125">
        <f t="shared" si="2"/>
        <v>0</v>
      </c>
      <c r="AL17" s="125">
        <f t="shared" ref="AL17:AL44" si="14">AH17</f>
        <v>0</v>
      </c>
      <c r="AM17" s="125">
        <f t="shared" ref="AM17:AM44" ca="1" si="15">AI17+AK17</f>
        <v>0</v>
      </c>
      <c r="AN17" s="130">
        <v>4.5</v>
      </c>
      <c r="AO17" s="125">
        <f>N17/18*AN17*50%</f>
        <v>2212.125</v>
      </c>
      <c r="AP17" s="125"/>
      <c r="AQ17" s="125">
        <f t="shared" si="2"/>
        <v>0</v>
      </c>
      <c r="AR17" s="131">
        <f t="shared" ref="AR17:AS44" si="16">AN17+AP17</f>
        <v>4.5</v>
      </c>
      <c r="AS17" s="125">
        <f t="shared" si="16"/>
        <v>2212.125</v>
      </c>
      <c r="AT17" s="131">
        <f t="shared" ref="AT17:AU44" si="17">AL17+AR17</f>
        <v>4.5</v>
      </c>
      <c r="AU17" s="125">
        <f>AS17</f>
        <v>2212.125</v>
      </c>
      <c r="AV17" s="126"/>
      <c r="AW17" s="126"/>
      <c r="AX17" s="126"/>
      <c r="AY17" s="126"/>
      <c r="AZ17" s="125"/>
      <c r="BA17" s="129"/>
      <c r="BB17" s="129"/>
      <c r="BC17" s="126">
        <v>9</v>
      </c>
      <c r="BD17" s="125">
        <f t="shared" ref="BD17:BD25" si="18">(AB17+AC17+AD17)*30%</f>
        <v>26927.091562500005</v>
      </c>
      <c r="BE17" s="125"/>
      <c r="BF17" s="125">
        <v>9</v>
      </c>
      <c r="BG17" s="125">
        <f>(AB17+AC17+AD17)*40%</f>
        <v>35902.788750000007</v>
      </c>
      <c r="BH17" s="125"/>
      <c r="BI17" s="125"/>
      <c r="BJ17" s="125"/>
      <c r="BK17" s="120">
        <f t="shared" si="3"/>
        <v>65042.005312500012</v>
      </c>
      <c r="BL17" s="120">
        <f t="shared" si="4"/>
        <v>163774.67437500003</v>
      </c>
      <c r="BM17" s="120">
        <f t="shared" si="5"/>
        <v>77789.375625000015</v>
      </c>
      <c r="BN17" s="120">
        <f t="shared" ref="BN17:BN45" si="19">BL17-BM17</f>
        <v>85985.298750000016</v>
      </c>
      <c r="BO17" s="120">
        <f t="shared" ref="BO17:BO45" si="20">BL17*12</f>
        <v>1965296.0925000003</v>
      </c>
    </row>
    <row r="18" spans="2:67" ht="15.75" customHeight="1" x14ac:dyDescent="0.25">
      <c r="B18" s="80" t="s">
        <v>82</v>
      </c>
      <c r="C18" s="74" t="s">
        <v>83</v>
      </c>
      <c r="D18" s="72" t="s">
        <v>84</v>
      </c>
      <c r="E18" s="72" t="s">
        <v>79</v>
      </c>
      <c r="F18" s="74">
        <v>46</v>
      </c>
      <c r="G18" s="75">
        <v>43458</v>
      </c>
      <c r="H18" s="75">
        <v>45284</v>
      </c>
      <c r="I18" s="72" t="s">
        <v>85</v>
      </c>
      <c r="J18" s="72" t="s">
        <v>86</v>
      </c>
      <c r="K18" s="74" t="s">
        <v>87</v>
      </c>
      <c r="L18" s="76">
        <v>33.049999999999997</v>
      </c>
      <c r="M18" s="82">
        <v>5.41</v>
      </c>
      <c r="N18" s="77">
        <v>17697</v>
      </c>
      <c r="O18" s="78">
        <f t="shared" si="0"/>
        <v>95740.77</v>
      </c>
      <c r="P18" s="74"/>
      <c r="Q18" s="79"/>
      <c r="R18" s="74">
        <v>2</v>
      </c>
      <c r="S18" s="114"/>
      <c r="T18" s="115"/>
      <c r="U18" s="114"/>
      <c r="V18" s="78">
        <f t="shared" si="6"/>
        <v>0</v>
      </c>
      <c r="W18" s="78">
        <f t="shared" si="7"/>
        <v>0</v>
      </c>
      <c r="X18" s="78">
        <f t="shared" si="8"/>
        <v>10637.863333333335</v>
      </c>
      <c r="Y18" s="79"/>
      <c r="Z18" s="107"/>
      <c r="AA18" s="79"/>
      <c r="AB18" s="78">
        <f t="shared" si="9"/>
        <v>10637.863333333335</v>
      </c>
      <c r="AC18" s="78">
        <f t="shared" si="10"/>
        <v>5318.9316666666673</v>
      </c>
      <c r="AD18" s="78">
        <f t="shared" si="11"/>
        <v>3989.1987500000005</v>
      </c>
      <c r="AE18" s="78">
        <f t="shared" si="12"/>
        <v>1994.5993750000002</v>
      </c>
      <c r="AF18" s="78">
        <f t="shared" si="13"/>
        <v>21940.593125000003</v>
      </c>
      <c r="AG18" s="120"/>
      <c r="AH18" s="125"/>
      <c r="AI18" s="125">
        <f t="shared" ca="1" si="1"/>
        <v>0</v>
      </c>
      <c r="AJ18" s="125"/>
      <c r="AK18" s="125">
        <f t="shared" si="2"/>
        <v>0</v>
      </c>
      <c r="AL18" s="125"/>
      <c r="AM18" s="125">
        <f t="shared" ca="1" si="15"/>
        <v>0</v>
      </c>
      <c r="AN18" s="130">
        <v>1</v>
      </c>
      <c r="AO18" s="125">
        <f>N18/18*AN18*50%</f>
        <v>491.58333333333331</v>
      </c>
      <c r="AP18" s="125"/>
      <c r="AQ18" s="125">
        <f t="shared" si="2"/>
        <v>0</v>
      </c>
      <c r="AR18" s="125">
        <f t="shared" si="16"/>
        <v>1</v>
      </c>
      <c r="AS18" s="125">
        <f t="shared" si="16"/>
        <v>491.58333333333331</v>
      </c>
      <c r="AT18" s="125">
        <f t="shared" si="17"/>
        <v>1</v>
      </c>
      <c r="AU18" s="125">
        <f>AS18</f>
        <v>491.58333333333331</v>
      </c>
      <c r="AV18" s="126"/>
      <c r="AW18" s="126"/>
      <c r="AX18" s="126"/>
      <c r="AY18" s="126"/>
      <c r="AZ18" s="125"/>
      <c r="BA18" s="129"/>
      <c r="BB18" s="129"/>
      <c r="BC18" s="126">
        <v>2</v>
      </c>
      <c r="BD18" s="125">
        <f t="shared" si="18"/>
        <v>5983.7981250000003</v>
      </c>
      <c r="BE18" s="125"/>
      <c r="BF18" s="125">
        <v>2</v>
      </c>
      <c r="BG18" s="125">
        <f>(AB18+AC18+AD18)*40%</f>
        <v>7978.3975000000009</v>
      </c>
      <c r="BH18" s="125"/>
      <c r="BI18" s="125"/>
      <c r="BJ18" s="125"/>
      <c r="BK18" s="120">
        <f t="shared" si="3"/>
        <v>14453.778958333334</v>
      </c>
      <c r="BL18" s="120">
        <f t="shared" si="4"/>
        <v>36394.372083333335</v>
      </c>
      <c r="BM18" s="120">
        <f t="shared" si="5"/>
        <v>17286.527916666666</v>
      </c>
      <c r="BN18" s="120">
        <f t="shared" si="19"/>
        <v>19107.844166666669</v>
      </c>
      <c r="BO18" s="120">
        <f t="shared" si="20"/>
        <v>436732.46500000003</v>
      </c>
    </row>
    <row r="19" spans="2:67" ht="15.75" customHeight="1" x14ac:dyDescent="0.25">
      <c r="B19" s="72" t="s">
        <v>88</v>
      </c>
      <c r="C19" s="74" t="s">
        <v>89</v>
      </c>
      <c r="D19" s="72" t="s">
        <v>90</v>
      </c>
      <c r="E19" s="72" t="s">
        <v>79</v>
      </c>
      <c r="F19" s="74">
        <v>47</v>
      </c>
      <c r="G19" s="75">
        <v>43335</v>
      </c>
      <c r="H19" s="75">
        <v>45161</v>
      </c>
      <c r="I19" s="72" t="s">
        <v>91</v>
      </c>
      <c r="J19" s="72" t="s">
        <v>92</v>
      </c>
      <c r="K19" s="74" t="s">
        <v>87</v>
      </c>
      <c r="L19" s="76">
        <v>20.079999999999998</v>
      </c>
      <c r="M19" s="82">
        <v>5.32</v>
      </c>
      <c r="N19" s="77">
        <v>17697</v>
      </c>
      <c r="O19" s="78">
        <f t="shared" si="0"/>
        <v>94148.040000000008</v>
      </c>
      <c r="P19" s="74"/>
      <c r="Q19" s="74">
        <v>12</v>
      </c>
      <c r="R19" s="74">
        <v>4</v>
      </c>
      <c r="S19" s="114"/>
      <c r="T19" s="115"/>
      <c r="U19" s="114"/>
      <c r="V19" s="78">
        <f t="shared" si="6"/>
        <v>0</v>
      </c>
      <c r="W19" s="78">
        <f t="shared" si="7"/>
        <v>62765.36</v>
      </c>
      <c r="X19" s="78">
        <f t="shared" si="8"/>
        <v>20921.786666666667</v>
      </c>
      <c r="Y19" s="79"/>
      <c r="Z19" s="79"/>
      <c r="AA19" s="79"/>
      <c r="AB19" s="78">
        <f t="shared" si="9"/>
        <v>83687.146666666667</v>
      </c>
      <c r="AC19" s="78">
        <f t="shared" si="10"/>
        <v>41843.573333333334</v>
      </c>
      <c r="AD19" s="78">
        <f t="shared" si="11"/>
        <v>31382.68</v>
      </c>
      <c r="AE19" s="78">
        <f t="shared" si="12"/>
        <v>15691.34</v>
      </c>
      <c r="AF19" s="78">
        <f t="shared" si="13"/>
        <v>172604.74</v>
      </c>
      <c r="AG19" s="120"/>
      <c r="AH19" s="125"/>
      <c r="AI19" s="125">
        <f t="shared" ca="1" si="1"/>
        <v>0</v>
      </c>
      <c r="AJ19" s="125"/>
      <c r="AK19" s="125">
        <f t="shared" si="2"/>
        <v>0</v>
      </c>
      <c r="AL19" s="125">
        <f t="shared" si="14"/>
        <v>0</v>
      </c>
      <c r="AM19" s="125">
        <f t="shared" ca="1" si="15"/>
        <v>0</v>
      </c>
      <c r="AN19" s="125"/>
      <c r="AO19" s="125">
        <f t="shared" ref="AO19:AO44" si="21">N19/18*AN19*40%</f>
        <v>0</v>
      </c>
      <c r="AP19" s="125"/>
      <c r="AQ19" s="125">
        <f t="shared" si="2"/>
        <v>0</v>
      </c>
      <c r="AR19" s="125">
        <f t="shared" si="16"/>
        <v>0</v>
      </c>
      <c r="AS19" s="125">
        <f t="shared" si="16"/>
        <v>0</v>
      </c>
      <c r="AT19" s="125">
        <f t="shared" si="17"/>
        <v>0</v>
      </c>
      <c r="AU19" s="125">
        <f t="shared" ca="1" si="17"/>
        <v>0.17777777777777778</v>
      </c>
      <c r="AV19" s="126"/>
      <c r="AW19" s="126"/>
      <c r="AX19" s="126"/>
      <c r="AY19" s="126"/>
      <c r="AZ19" s="125"/>
      <c r="BA19" s="129"/>
      <c r="BB19" s="129"/>
      <c r="BC19" s="126">
        <v>17</v>
      </c>
      <c r="BD19" s="125">
        <f>(AB19+AC19+AD19+AB49+AC49+AD49)*30%</f>
        <v>50016.146249999998</v>
      </c>
      <c r="BE19" s="125"/>
      <c r="BF19" s="131" t="s">
        <v>233</v>
      </c>
      <c r="BG19" s="125">
        <f>(AB19+AC19+AD19+AB49+AC49+AD49)*40%</f>
        <v>66688.194999999992</v>
      </c>
      <c r="BH19" s="125"/>
      <c r="BI19" s="125"/>
      <c r="BJ19" s="125"/>
      <c r="BK19" s="120">
        <f t="shared" si="3"/>
        <v>116704.34125</v>
      </c>
      <c r="BL19" s="120">
        <f t="shared" si="4"/>
        <v>289309.08124999999</v>
      </c>
      <c r="BM19" s="120">
        <f t="shared" si="5"/>
        <v>138933.73958333331</v>
      </c>
      <c r="BN19" s="120">
        <f t="shared" si="19"/>
        <v>150375.34166666667</v>
      </c>
      <c r="BO19" s="120">
        <f t="shared" si="20"/>
        <v>3471708.9749999996</v>
      </c>
    </row>
    <row r="20" spans="2:67" ht="15.75" customHeight="1" x14ac:dyDescent="0.25">
      <c r="B20" s="72" t="s">
        <v>88</v>
      </c>
      <c r="C20" s="74" t="s">
        <v>93</v>
      </c>
      <c r="D20" s="72" t="s">
        <v>90</v>
      </c>
      <c r="E20" s="72" t="s">
        <v>79</v>
      </c>
      <c r="F20" s="74">
        <v>47</v>
      </c>
      <c r="G20" s="75">
        <v>43335</v>
      </c>
      <c r="H20" s="75">
        <v>45161</v>
      </c>
      <c r="I20" s="72" t="s">
        <v>91</v>
      </c>
      <c r="J20" s="72" t="s">
        <v>92</v>
      </c>
      <c r="K20" s="74" t="s">
        <v>87</v>
      </c>
      <c r="L20" s="76">
        <v>20.079999999999998</v>
      </c>
      <c r="M20" s="82">
        <v>5.32</v>
      </c>
      <c r="N20" s="77">
        <v>17697</v>
      </c>
      <c r="O20" s="78">
        <f t="shared" si="0"/>
        <v>94148.040000000008</v>
      </c>
      <c r="P20" s="74"/>
      <c r="Q20" s="74">
        <v>1</v>
      </c>
      <c r="R20" s="74"/>
      <c r="S20" s="114"/>
      <c r="T20" s="114"/>
      <c r="U20" s="114"/>
      <c r="V20" s="78">
        <f t="shared" si="6"/>
        <v>0</v>
      </c>
      <c r="W20" s="78">
        <f t="shared" si="7"/>
        <v>5230.4466666666667</v>
      </c>
      <c r="X20" s="78">
        <f t="shared" si="8"/>
        <v>0</v>
      </c>
      <c r="Y20" s="79"/>
      <c r="Z20" s="79"/>
      <c r="AA20" s="79"/>
      <c r="AB20" s="78">
        <f t="shared" si="9"/>
        <v>5230.4466666666667</v>
      </c>
      <c r="AC20" s="78">
        <f t="shared" si="10"/>
        <v>2615.2233333333334</v>
      </c>
      <c r="AD20" s="78">
        <f t="shared" si="11"/>
        <v>1961.4175</v>
      </c>
      <c r="AE20" s="78">
        <f t="shared" si="12"/>
        <v>980.70875000000001</v>
      </c>
      <c r="AF20" s="78">
        <f t="shared" si="13"/>
        <v>10787.796249999999</v>
      </c>
      <c r="AG20" s="120"/>
      <c r="AH20" s="125"/>
      <c r="AI20" s="125">
        <f t="shared" ca="1" si="1"/>
        <v>0</v>
      </c>
      <c r="AJ20" s="125"/>
      <c r="AK20" s="125">
        <f t="shared" si="2"/>
        <v>0</v>
      </c>
      <c r="AL20" s="125">
        <f t="shared" si="14"/>
        <v>0</v>
      </c>
      <c r="AM20" s="125">
        <f t="shared" ca="1" si="15"/>
        <v>0</v>
      </c>
      <c r="AN20" s="125"/>
      <c r="AO20" s="125">
        <f t="shared" si="21"/>
        <v>0</v>
      </c>
      <c r="AP20" s="125"/>
      <c r="AQ20" s="125">
        <f t="shared" si="2"/>
        <v>0</v>
      </c>
      <c r="AR20" s="125">
        <f t="shared" si="16"/>
        <v>0</v>
      </c>
      <c r="AS20" s="125">
        <f t="shared" si="16"/>
        <v>0</v>
      </c>
      <c r="AT20" s="125">
        <f t="shared" si="17"/>
        <v>0</v>
      </c>
      <c r="AU20" s="125">
        <f t="shared" ca="1" si="17"/>
        <v>0.17777777777777778</v>
      </c>
      <c r="AV20" s="126"/>
      <c r="AW20" s="126"/>
      <c r="AX20" s="126"/>
      <c r="AY20" s="126"/>
      <c r="AZ20" s="125"/>
      <c r="BA20" s="129"/>
      <c r="BB20" s="129"/>
      <c r="BC20" s="126">
        <v>1</v>
      </c>
      <c r="BD20" s="125">
        <f t="shared" si="18"/>
        <v>2942.1262499999998</v>
      </c>
      <c r="BE20" s="125"/>
      <c r="BF20" s="125">
        <v>1</v>
      </c>
      <c r="BG20" s="125">
        <f>(AB20+AC20+AD20)*40%</f>
        <v>3922.835</v>
      </c>
      <c r="BH20" s="125"/>
      <c r="BI20" s="125"/>
      <c r="BJ20" s="125"/>
      <c r="BK20" s="120">
        <f t="shared" si="3"/>
        <v>6864.9612500000003</v>
      </c>
      <c r="BL20" s="120">
        <f t="shared" si="4"/>
        <v>17652.7575</v>
      </c>
      <c r="BM20" s="120">
        <f t="shared" si="5"/>
        <v>8499.475833333332</v>
      </c>
      <c r="BN20" s="120">
        <f t="shared" si="19"/>
        <v>9153.2816666666677</v>
      </c>
      <c r="BO20" s="120">
        <f t="shared" si="20"/>
        <v>211833.09</v>
      </c>
    </row>
    <row r="21" spans="2:67" ht="15.75" customHeight="1" x14ac:dyDescent="0.25">
      <c r="B21" s="80" t="s">
        <v>94</v>
      </c>
      <c r="C21" s="74" t="s">
        <v>95</v>
      </c>
      <c r="D21" s="72" t="s">
        <v>96</v>
      </c>
      <c r="E21" s="72" t="s">
        <v>79</v>
      </c>
      <c r="F21" s="74">
        <v>56</v>
      </c>
      <c r="G21" s="75">
        <v>43458</v>
      </c>
      <c r="H21" s="72" t="s">
        <v>97</v>
      </c>
      <c r="I21" s="72" t="s">
        <v>98</v>
      </c>
      <c r="J21" s="72" t="s">
        <v>86</v>
      </c>
      <c r="K21" s="74" t="s">
        <v>87</v>
      </c>
      <c r="L21" s="76">
        <v>22.09</v>
      </c>
      <c r="M21" s="76">
        <v>5.32</v>
      </c>
      <c r="N21" s="77">
        <v>17697</v>
      </c>
      <c r="O21" s="78">
        <f t="shared" si="0"/>
        <v>94148.040000000008</v>
      </c>
      <c r="P21" s="74"/>
      <c r="Q21" s="74">
        <v>8</v>
      </c>
      <c r="R21" s="74">
        <v>4</v>
      </c>
      <c r="S21" s="114"/>
      <c r="T21" s="114"/>
      <c r="U21" s="114"/>
      <c r="V21" s="78">
        <f t="shared" si="6"/>
        <v>0</v>
      </c>
      <c r="W21" s="78">
        <f t="shared" si="7"/>
        <v>41843.573333333334</v>
      </c>
      <c r="X21" s="78">
        <f t="shared" si="8"/>
        <v>20921.786666666667</v>
      </c>
      <c r="Y21" s="79"/>
      <c r="Z21" s="79"/>
      <c r="AA21" s="79"/>
      <c r="AB21" s="78">
        <f t="shared" si="9"/>
        <v>62765.36</v>
      </c>
      <c r="AC21" s="78">
        <f t="shared" si="10"/>
        <v>31382.68</v>
      </c>
      <c r="AD21" s="78">
        <f t="shared" si="11"/>
        <v>23537.010000000002</v>
      </c>
      <c r="AE21" s="78">
        <f t="shared" si="12"/>
        <v>11768.505000000003</v>
      </c>
      <c r="AF21" s="78">
        <f t="shared" si="13"/>
        <v>129453.55500000002</v>
      </c>
      <c r="AG21" s="120"/>
      <c r="AH21" s="125"/>
      <c r="AI21" s="125">
        <f t="shared" ca="1" si="1"/>
        <v>0</v>
      </c>
      <c r="AJ21" s="125"/>
      <c r="AK21" s="125">
        <f t="shared" si="2"/>
        <v>0</v>
      </c>
      <c r="AL21" s="125">
        <f t="shared" si="14"/>
        <v>0</v>
      </c>
      <c r="AM21" s="125">
        <f t="shared" ca="1" si="15"/>
        <v>0</v>
      </c>
      <c r="AN21" s="125"/>
      <c r="AO21" s="125">
        <f t="shared" si="21"/>
        <v>0</v>
      </c>
      <c r="AP21" s="125"/>
      <c r="AQ21" s="125">
        <f t="shared" si="2"/>
        <v>0</v>
      </c>
      <c r="AR21" s="125">
        <f t="shared" si="16"/>
        <v>0</v>
      </c>
      <c r="AS21" s="125">
        <f t="shared" si="16"/>
        <v>0</v>
      </c>
      <c r="AT21" s="125">
        <f t="shared" si="17"/>
        <v>0</v>
      </c>
      <c r="AU21" s="125">
        <f t="shared" ca="1" si="17"/>
        <v>0.17777777777777778</v>
      </c>
      <c r="AV21" s="126"/>
      <c r="AW21" s="126"/>
      <c r="AX21" s="130"/>
      <c r="AY21" s="126"/>
      <c r="AZ21" s="125"/>
      <c r="BA21" s="129"/>
      <c r="BB21" s="129"/>
      <c r="BC21" s="126">
        <v>14</v>
      </c>
      <c r="BD21" s="125">
        <f>(AB21+AC21+AD21+AB64+AC64+AD64)*30%</f>
        <v>41189.767500000002</v>
      </c>
      <c r="BE21" s="125"/>
      <c r="BF21" s="125">
        <v>14</v>
      </c>
      <c r="BG21" s="125">
        <f>(AB21+AC21+AD21+AB64+AC64+AD64)*40%</f>
        <v>54919.69</v>
      </c>
      <c r="BH21" s="125"/>
      <c r="BI21" s="125"/>
      <c r="BJ21" s="125"/>
      <c r="BK21" s="120">
        <f t="shared" si="3"/>
        <v>96109.457500000004</v>
      </c>
      <c r="BL21" s="120">
        <f t="shared" si="4"/>
        <v>225563.01250000001</v>
      </c>
      <c r="BM21" s="120">
        <f t="shared" si="5"/>
        <v>107877.96250000001</v>
      </c>
      <c r="BN21" s="120">
        <f t="shared" si="19"/>
        <v>117685.05</v>
      </c>
      <c r="BO21" s="120">
        <f t="shared" si="20"/>
        <v>2706756.1500000004</v>
      </c>
    </row>
    <row r="22" spans="2:67" ht="15.75" customHeight="1" x14ac:dyDescent="0.25">
      <c r="B22" s="80" t="s">
        <v>94</v>
      </c>
      <c r="C22" s="74" t="s">
        <v>142</v>
      </c>
      <c r="D22" s="72" t="s">
        <v>96</v>
      </c>
      <c r="E22" s="72" t="s">
        <v>79</v>
      </c>
      <c r="F22" s="74"/>
      <c r="G22" s="75"/>
      <c r="H22" s="72"/>
      <c r="I22" s="72"/>
      <c r="J22" s="72" t="s">
        <v>156</v>
      </c>
      <c r="K22" s="74" t="s">
        <v>157</v>
      </c>
      <c r="L22" s="76">
        <v>22.09</v>
      </c>
      <c r="M22" s="76">
        <v>4.67</v>
      </c>
      <c r="N22" s="77">
        <v>17697</v>
      </c>
      <c r="O22" s="78">
        <f t="shared" si="0"/>
        <v>82644.990000000005</v>
      </c>
      <c r="P22" s="74"/>
      <c r="Q22" s="74">
        <v>9</v>
      </c>
      <c r="R22" s="74">
        <v>4</v>
      </c>
      <c r="S22" s="114"/>
      <c r="T22" s="114"/>
      <c r="U22" s="114"/>
      <c r="V22" s="78">
        <f t="shared" si="6"/>
        <v>0</v>
      </c>
      <c r="W22" s="78">
        <f t="shared" si="7"/>
        <v>41322.495000000003</v>
      </c>
      <c r="X22" s="78">
        <f t="shared" si="8"/>
        <v>18365.553333333333</v>
      </c>
      <c r="Y22" s="79"/>
      <c r="Z22" s="79"/>
      <c r="AA22" s="79"/>
      <c r="AB22" s="78">
        <f t="shared" si="9"/>
        <v>59688.04833333334</v>
      </c>
      <c r="AC22" s="78">
        <f t="shared" si="10"/>
        <v>29844.02416666667</v>
      </c>
      <c r="AD22" s="78">
        <f t="shared" si="11"/>
        <v>22383.018125000002</v>
      </c>
      <c r="AE22" s="78">
        <f t="shared" si="12"/>
        <v>11191.509062500001</v>
      </c>
      <c r="AF22" s="78">
        <f t="shared" si="13"/>
        <v>123106.59968750001</v>
      </c>
      <c r="AG22" s="120"/>
      <c r="AH22" s="125"/>
      <c r="AI22" s="125">
        <f t="shared" ca="1" si="1"/>
        <v>0</v>
      </c>
      <c r="AJ22" s="125"/>
      <c r="AK22" s="125">
        <f t="shared" si="2"/>
        <v>0</v>
      </c>
      <c r="AL22" s="125">
        <f t="shared" si="14"/>
        <v>0</v>
      </c>
      <c r="AM22" s="125">
        <f t="shared" ca="1" si="15"/>
        <v>0</v>
      </c>
      <c r="AN22" s="125"/>
      <c r="AO22" s="125">
        <f t="shared" si="21"/>
        <v>0</v>
      </c>
      <c r="AP22" s="125"/>
      <c r="AQ22" s="125">
        <f t="shared" si="2"/>
        <v>0</v>
      </c>
      <c r="AR22" s="125">
        <f t="shared" si="16"/>
        <v>0</v>
      </c>
      <c r="AS22" s="125">
        <f t="shared" si="16"/>
        <v>0</v>
      </c>
      <c r="AT22" s="125">
        <f t="shared" si="17"/>
        <v>0</v>
      </c>
      <c r="AU22" s="125">
        <f t="shared" ca="1" si="17"/>
        <v>0.17777777777777778</v>
      </c>
      <c r="AV22" s="126"/>
      <c r="AW22" s="126"/>
      <c r="AX22" s="130"/>
      <c r="AY22" s="126"/>
      <c r="AZ22" s="125"/>
      <c r="BA22" s="129"/>
      <c r="BB22" s="129"/>
      <c r="BC22" s="126">
        <v>13</v>
      </c>
      <c r="BD22" s="125">
        <f t="shared" si="18"/>
        <v>33574.527187500003</v>
      </c>
      <c r="BE22" s="125"/>
      <c r="BF22" s="125"/>
      <c r="BG22" s="125"/>
      <c r="BH22" s="125"/>
      <c r="BI22" s="125"/>
      <c r="BJ22" s="125"/>
      <c r="BK22" s="120">
        <f t="shared" si="3"/>
        <v>33574.527187500003</v>
      </c>
      <c r="BL22" s="120">
        <f t="shared" si="4"/>
        <v>156681.12687500002</v>
      </c>
      <c r="BM22" s="120">
        <f t="shared" si="5"/>
        <v>96993.078541666677</v>
      </c>
      <c r="BN22" s="120">
        <f t="shared" si="19"/>
        <v>59688.04833333334</v>
      </c>
      <c r="BO22" s="120">
        <f t="shared" si="20"/>
        <v>1880173.5225000002</v>
      </c>
    </row>
    <row r="23" spans="2:67" ht="15.75" customHeight="1" x14ac:dyDescent="0.25">
      <c r="B23" s="83" t="s">
        <v>99</v>
      </c>
      <c r="C23" s="74" t="s">
        <v>130</v>
      </c>
      <c r="D23" s="156" t="s">
        <v>100</v>
      </c>
      <c r="E23" s="72" t="s">
        <v>79</v>
      </c>
      <c r="F23" s="74">
        <v>48</v>
      </c>
      <c r="G23" s="75">
        <v>43335</v>
      </c>
      <c r="H23" s="75">
        <v>45161</v>
      </c>
      <c r="I23" s="72" t="s">
        <v>101</v>
      </c>
      <c r="J23" s="72" t="s">
        <v>92</v>
      </c>
      <c r="K23" s="74" t="s">
        <v>87</v>
      </c>
      <c r="L23" s="84">
        <v>17.05</v>
      </c>
      <c r="M23" s="76">
        <v>5.24</v>
      </c>
      <c r="N23" s="77">
        <v>17697</v>
      </c>
      <c r="O23" s="78">
        <f t="shared" si="0"/>
        <v>92732.28</v>
      </c>
      <c r="P23" s="74">
        <v>21</v>
      </c>
      <c r="Q23" s="74"/>
      <c r="R23" s="74"/>
      <c r="S23" s="114"/>
      <c r="T23" s="114"/>
      <c r="U23" s="114"/>
      <c r="V23" s="78">
        <f t="shared" si="6"/>
        <v>108187.65999999999</v>
      </c>
      <c r="W23" s="78">
        <f t="shared" si="7"/>
        <v>0</v>
      </c>
      <c r="X23" s="78">
        <f t="shared" si="8"/>
        <v>0</v>
      </c>
      <c r="Y23" s="79"/>
      <c r="Z23" s="79"/>
      <c r="AA23" s="79"/>
      <c r="AB23" s="78">
        <f t="shared" si="9"/>
        <v>108187.65999999999</v>
      </c>
      <c r="AC23" s="78">
        <f t="shared" si="10"/>
        <v>54093.829999999994</v>
      </c>
      <c r="AD23" s="78">
        <f t="shared" si="11"/>
        <v>40570.372499999998</v>
      </c>
      <c r="AE23" s="78">
        <f t="shared" si="12"/>
        <v>20285.186249999999</v>
      </c>
      <c r="AF23" s="78">
        <f t="shared" si="13"/>
        <v>223137.04874999999</v>
      </c>
      <c r="AG23" s="120"/>
      <c r="AH23" s="131">
        <v>10.5</v>
      </c>
      <c r="AI23" s="125">
        <f>N23/18*AH23*40%</f>
        <v>4129.3</v>
      </c>
      <c r="AJ23" s="125"/>
      <c r="AK23" s="125"/>
      <c r="AL23" s="131">
        <f t="shared" si="14"/>
        <v>10.5</v>
      </c>
      <c r="AM23" s="125">
        <f>AI23</f>
        <v>4129.3</v>
      </c>
      <c r="AN23" s="125"/>
      <c r="AO23" s="125">
        <f t="shared" si="21"/>
        <v>0</v>
      </c>
      <c r="AP23" s="125"/>
      <c r="AQ23" s="125"/>
      <c r="AR23" s="125">
        <f t="shared" si="16"/>
        <v>0</v>
      </c>
      <c r="AS23" s="125">
        <f t="shared" si="16"/>
        <v>0</v>
      </c>
      <c r="AT23" s="125">
        <f t="shared" si="17"/>
        <v>10.5</v>
      </c>
      <c r="AU23" s="125">
        <f t="shared" si="17"/>
        <v>4129.3</v>
      </c>
      <c r="AV23" s="131" t="s">
        <v>206</v>
      </c>
      <c r="AW23" s="130">
        <v>1</v>
      </c>
      <c r="AX23" s="127"/>
      <c r="AY23" s="126"/>
      <c r="AZ23" s="125">
        <f>N23*50%</f>
        <v>8848.5</v>
      </c>
      <c r="BA23" s="129"/>
      <c r="BB23" s="129"/>
      <c r="BC23" s="126">
        <v>23</v>
      </c>
      <c r="BD23" s="125">
        <f>(AB23+AC23+AD23+AB67+AC67+AD67+AB71+AC71+AD71)*30%</f>
        <v>66651.326249999984</v>
      </c>
      <c r="BE23" s="125"/>
      <c r="BF23" s="131" t="s">
        <v>234</v>
      </c>
      <c r="BG23" s="125">
        <f>(AB23+AC23+AD23+AB67+AC67+AD67+AB71+AC71+AD71)*40%</f>
        <v>88868.434999999998</v>
      </c>
      <c r="BH23" s="125"/>
      <c r="BI23" s="125"/>
      <c r="BJ23" s="125"/>
      <c r="BK23" s="120">
        <f>AG23+AS23+AZ23+BB23+BD23+BE23+BG23+BH23+BI23+AU23</f>
        <v>168497.56124999997</v>
      </c>
      <c r="BL23" s="120">
        <f t="shared" si="4"/>
        <v>391634.61</v>
      </c>
      <c r="BM23" s="120">
        <f t="shared" si="5"/>
        <v>181600.71499999997</v>
      </c>
      <c r="BN23" s="120">
        <f t="shared" si="19"/>
        <v>210033.89500000002</v>
      </c>
      <c r="BO23" s="120">
        <f t="shared" si="20"/>
        <v>4699615.32</v>
      </c>
    </row>
    <row r="24" spans="2:67" ht="15.75" customHeight="1" x14ac:dyDescent="0.25">
      <c r="B24" s="72" t="s">
        <v>102</v>
      </c>
      <c r="C24" s="74" t="s">
        <v>103</v>
      </c>
      <c r="D24" s="85" t="s">
        <v>104</v>
      </c>
      <c r="E24" s="72" t="s">
        <v>79</v>
      </c>
      <c r="F24" s="74">
        <v>53</v>
      </c>
      <c r="G24" s="75">
        <v>43335</v>
      </c>
      <c r="H24" s="75">
        <v>45161</v>
      </c>
      <c r="I24" s="72" t="s">
        <v>105</v>
      </c>
      <c r="J24" s="72" t="s">
        <v>106</v>
      </c>
      <c r="K24" s="74" t="s">
        <v>81</v>
      </c>
      <c r="L24" s="76">
        <v>14.05</v>
      </c>
      <c r="M24" s="76">
        <v>4.95</v>
      </c>
      <c r="N24" s="77">
        <v>17697</v>
      </c>
      <c r="O24" s="78">
        <f t="shared" si="0"/>
        <v>87600.150000000009</v>
      </c>
      <c r="P24" s="74"/>
      <c r="Q24" s="74"/>
      <c r="R24" s="74">
        <v>2</v>
      </c>
      <c r="S24" s="114"/>
      <c r="T24" s="114"/>
      <c r="U24" s="114"/>
      <c r="V24" s="78">
        <f t="shared" si="6"/>
        <v>0</v>
      </c>
      <c r="W24" s="78">
        <f t="shared" si="7"/>
        <v>0</v>
      </c>
      <c r="X24" s="78"/>
      <c r="Y24" s="79"/>
      <c r="Z24" s="79"/>
      <c r="AA24" s="79"/>
      <c r="AB24" s="78">
        <f t="shared" si="9"/>
        <v>0</v>
      </c>
      <c r="AC24" s="78">
        <f t="shared" si="10"/>
        <v>0</v>
      </c>
      <c r="AD24" s="78">
        <f t="shared" si="11"/>
        <v>0</v>
      </c>
      <c r="AE24" s="78">
        <f t="shared" si="12"/>
        <v>0</v>
      </c>
      <c r="AF24" s="78">
        <f t="shared" si="13"/>
        <v>0</v>
      </c>
      <c r="AG24" s="120"/>
      <c r="AH24" s="125"/>
      <c r="AI24" s="125">
        <f t="shared" ref="AI24:AI44" si="22">N24/18*AH24*40%</f>
        <v>0</v>
      </c>
      <c r="AJ24" s="125"/>
      <c r="AK24" s="125">
        <f t="shared" si="2"/>
        <v>0</v>
      </c>
      <c r="AL24" s="125">
        <f t="shared" si="14"/>
        <v>0</v>
      </c>
      <c r="AM24" s="125">
        <f t="shared" si="15"/>
        <v>0</v>
      </c>
      <c r="AN24" s="125"/>
      <c r="AO24" s="125">
        <f t="shared" si="21"/>
        <v>0</v>
      </c>
      <c r="AP24" s="125"/>
      <c r="AQ24" s="125">
        <f t="shared" si="2"/>
        <v>0</v>
      </c>
      <c r="AR24" s="125">
        <f t="shared" si="16"/>
        <v>0</v>
      </c>
      <c r="AS24" s="125">
        <f t="shared" si="16"/>
        <v>0</v>
      </c>
      <c r="AT24" s="125">
        <f t="shared" si="17"/>
        <v>0</v>
      </c>
      <c r="AU24" s="125">
        <f t="shared" si="17"/>
        <v>0</v>
      </c>
      <c r="AV24" s="126"/>
      <c r="AW24" s="126"/>
      <c r="AX24" s="130"/>
      <c r="AY24" s="126"/>
      <c r="AZ24" s="125"/>
      <c r="BA24" s="129"/>
      <c r="BB24" s="129"/>
      <c r="BC24" s="126"/>
      <c r="BD24" s="125">
        <f t="shared" si="18"/>
        <v>0</v>
      </c>
      <c r="BE24" s="125"/>
      <c r="BF24" s="125"/>
      <c r="BG24" s="125">
        <f>(AB24+AC24+AD24)*35%</f>
        <v>0</v>
      </c>
      <c r="BH24" s="125"/>
      <c r="BI24" s="125"/>
      <c r="BJ24" s="125"/>
      <c r="BK24" s="120">
        <f>AG24+AS24+AZ24+BB24+BD24+BE24+BG24+BH24+BI24+AU24</f>
        <v>0</v>
      </c>
      <c r="BL24" s="120">
        <f t="shared" si="4"/>
        <v>0</v>
      </c>
      <c r="BM24" s="120">
        <f t="shared" si="5"/>
        <v>0</v>
      </c>
      <c r="BN24" s="120">
        <f t="shared" si="19"/>
        <v>0</v>
      </c>
      <c r="BO24" s="120">
        <f t="shared" si="20"/>
        <v>0</v>
      </c>
    </row>
    <row r="25" spans="2:67" ht="15.75" customHeight="1" x14ac:dyDescent="0.25">
      <c r="B25" s="72" t="s">
        <v>153</v>
      </c>
      <c r="C25" s="74" t="s">
        <v>154</v>
      </c>
      <c r="D25" s="85" t="s">
        <v>109</v>
      </c>
      <c r="E25" s="72" t="s">
        <v>79</v>
      </c>
      <c r="F25" s="74">
        <v>20</v>
      </c>
      <c r="G25" s="72"/>
      <c r="H25" s="72"/>
      <c r="I25" s="72" t="s">
        <v>155</v>
      </c>
      <c r="J25" s="72" t="s">
        <v>156</v>
      </c>
      <c r="K25" s="74" t="s">
        <v>157</v>
      </c>
      <c r="L25" s="76">
        <v>21.08</v>
      </c>
      <c r="M25" s="82">
        <v>4.67</v>
      </c>
      <c r="N25" s="77">
        <v>17697</v>
      </c>
      <c r="O25" s="78">
        <f t="shared" si="0"/>
        <v>82644.990000000005</v>
      </c>
      <c r="P25" s="74"/>
      <c r="Q25" s="74">
        <v>5</v>
      </c>
      <c r="R25" s="74">
        <v>4</v>
      </c>
      <c r="S25" s="114"/>
      <c r="T25" s="115"/>
      <c r="U25" s="114"/>
      <c r="V25" s="78">
        <f t="shared" si="6"/>
        <v>0</v>
      </c>
      <c r="W25" s="78">
        <f t="shared" si="7"/>
        <v>22956.941666666666</v>
      </c>
      <c r="X25" s="78">
        <f t="shared" si="8"/>
        <v>18365.553333333333</v>
      </c>
      <c r="Y25" s="79"/>
      <c r="Z25" s="79"/>
      <c r="AA25" s="79"/>
      <c r="AB25" s="78">
        <f t="shared" si="9"/>
        <v>41322.494999999995</v>
      </c>
      <c r="AC25" s="78">
        <f t="shared" si="10"/>
        <v>20661.247499999998</v>
      </c>
      <c r="AD25" s="78">
        <f t="shared" si="11"/>
        <v>15495.935624999998</v>
      </c>
      <c r="AE25" s="78">
        <f t="shared" si="12"/>
        <v>7747.9678124999991</v>
      </c>
      <c r="AF25" s="78">
        <f t="shared" si="13"/>
        <v>85227.645937499998</v>
      </c>
      <c r="AG25" s="120"/>
      <c r="AH25" s="125"/>
      <c r="AI25" s="125">
        <f t="shared" si="22"/>
        <v>0</v>
      </c>
      <c r="AJ25" s="125"/>
      <c r="AK25" s="125">
        <f t="shared" si="2"/>
        <v>0</v>
      </c>
      <c r="AL25" s="125">
        <f t="shared" si="14"/>
        <v>0</v>
      </c>
      <c r="AM25" s="125">
        <f t="shared" si="15"/>
        <v>0</v>
      </c>
      <c r="AN25" s="125"/>
      <c r="AO25" s="125">
        <f t="shared" si="21"/>
        <v>0</v>
      </c>
      <c r="AP25" s="131" t="s">
        <v>214</v>
      </c>
      <c r="AQ25" s="125">
        <f>N25/18*AP25*40%</f>
        <v>1769.7</v>
      </c>
      <c r="AR25" s="131">
        <f t="shared" si="16"/>
        <v>4.5</v>
      </c>
      <c r="AS25" s="125">
        <f t="shared" si="16"/>
        <v>1769.7</v>
      </c>
      <c r="AT25" s="125">
        <f t="shared" si="17"/>
        <v>4.5</v>
      </c>
      <c r="AU25" s="125">
        <f t="shared" si="17"/>
        <v>1769.7</v>
      </c>
      <c r="AV25" s="126"/>
      <c r="AW25" s="126"/>
      <c r="AX25" s="126"/>
      <c r="AY25" s="126"/>
      <c r="AZ25" s="125"/>
      <c r="BA25" s="129"/>
      <c r="BB25" s="129"/>
      <c r="BC25" s="126">
        <v>9</v>
      </c>
      <c r="BD25" s="125">
        <f t="shared" si="18"/>
        <v>23243.903437499997</v>
      </c>
      <c r="BE25" s="125"/>
      <c r="BF25" s="125"/>
      <c r="BG25" s="125"/>
      <c r="BH25" s="126"/>
      <c r="BI25" s="126"/>
      <c r="BJ25" s="126"/>
      <c r="BK25" s="120">
        <f>AU25+AZ25+BB25+BD25+BE25+BG25+BH25+BI25</f>
        <v>25013.603437499998</v>
      </c>
      <c r="BL25" s="120">
        <f t="shared" si="4"/>
        <v>110241.249375</v>
      </c>
      <c r="BM25" s="120">
        <f t="shared" si="5"/>
        <v>67149.054374999992</v>
      </c>
      <c r="BN25" s="120">
        <f t="shared" si="19"/>
        <v>43092.195000000007</v>
      </c>
      <c r="BO25" s="120">
        <f t="shared" si="20"/>
        <v>1322894.9924999999</v>
      </c>
    </row>
    <row r="26" spans="2:67" ht="15.75" customHeight="1" x14ac:dyDescent="0.25">
      <c r="B26" s="72" t="s">
        <v>107</v>
      </c>
      <c r="C26" s="74" t="s">
        <v>108</v>
      </c>
      <c r="D26" s="85" t="s">
        <v>109</v>
      </c>
      <c r="E26" s="72" t="s">
        <v>79</v>
      </c>
      <c r="F26" s="74">
        <v>21</v>
      </c>
      <c r="G26" s="75"/>
      <c r="H26" s="72"/>
      <c r="I26" s="72" t="s">
        <v>110</v>
      </c>
      <c r="J26" s="72" t="s">
        <v>182</v>
      </c>
      <c r="K26" s="74" t="s">
        <v>87</v>
      </c>
      <c r="L26" s="76">
        <v>21.08</v>
      </c>
      <c r="M26" s="82">
        <v>5.32</v>
      </c>
      <c r="N26" s="77">
        <v>17697</v>
      </c>
      <c r="O26" s="78">
        <f t="shared" si="0"/>
        <v>94148.040000000008</v>
      </c>
      <c r="P26" s="74"/>
      <c r="Q26" s="74">
        <v>6</v>
      </c>
      <c r="R26" s="74">
        <v>4</v>
      </c>
      <c r="S26" s="114"/>
      <c r="T26" s="114"/>
      <c r="U26" s="115"/>
      <c r="V26" s="78">
        <f t="shared" si="6"/>
        <v>0</v>
      </c>
      <c r="W26" s="78">
        <f t="shared" si="7"/>
        <v>31382.68</v>
      </c>
      <c r="X26" s="78">
        <f t="shared" si="8"/>
        <v>20921.786666666667</v>
      </c>
      <c r="Y26" s="79"/>
      <c r="Z26" s="79"/>
      <c r="AA26" s="79"/>
      <c r="AB26" s="78">
        <f t="shared" si="9"/>
        <v>52304.466666666667</v>
      </c>
      <c r="AC26" s="78">
        <f t="shared" si="10"/>
        <v>26152.233333333334</v>
      </c>
      <c r="AD26" s="78">
        <f t="shared" si="11"/>
        <v>19614.174999999999</v>
      </c>
      <c r="AE26" s="78">
        <f t="shared" si="12"/>
        <v>9807.0874999999996</v>
      </c>
      <c r="AF26" s="78">
        <f t="shared" si="13"/>
        <v>107877.96249999999</v>
      </c>
      <c r="AG26" s="120"/>
      <c r="AH26" s="125"/>
      <c r="AI26" s="125">
        <f t="shared" si="22"/>
        <v>0</v>
      </c>
      <c r="AJ26" s="125"/>
      <c r="AK26" s="125">
        <f t="shared" si="2"/>
        <v>0</v>
      </c>
      <c r="AL26" s="125">
        <f t="shared" si="14"/>
        <v>0</v>
      </c>
      <c r="AM26" s="125">
        <f t="shared" si="15"/>
        <v>0</v>
      </c>
      <c r="AN26" s="125"/>
      <c r="AO26" s="125">
        <f t="shared" si="21"/>
        <v>0</v>
      </c>
      <c r="AP26" s="125">
        <v>5</v>
      </c>
      <c r="AQ26" s="125">
        <f t="shared" ref="AQ26:AQ44" si="23">N26/18*AP26*40%</f>
        <v>1966.3333333333333</v>
      </c>
      <c r="AR26" s="131">
        <f t="shared" si="16"/>
        <v>5</v>
      </c>
      <c r="AS26" s="125">
        <f t="shared" si="16"/>
        <v>1966.3333333333333</v>
      </c>
      <c r="AT26" s="125">
        <f t="shared" si="17"/>
        <v>5</v>
      </c>
      <c r="AU26" s="125">
        <f t="shared" si="17"/>
        <v>1966.3333333333333</v>
      </c>
      <c r="AV26" s="126">
        <v>11</v>
      </c>
      <c r="AW26" s="126"/>
      <c r="AX26" s="126"/>
      <c r="AY26" s="126">
        <v>1</v>
      </c>
      <c r="AZ26" s="125">
        <f>N26*60%</f>
        <v>10618.199999999999</v>
      </c>
      <c r="BA26" s="129">
        <v>1</v>
      </c>
      <c r="BB26" s="129">
        <f>N26*20%</f>
        <v>3539.4</v>
      </c>
      <c r="BC26" s="126">
        <v>12</v>
      </c>
      <c r="BD26" s="125">
        <f>(AB26+AC26+AD26+AB65+AC65+AD65)*30%</f>
        <v>35305.515000000007</v>
      </c>
      <c r="BE26" s="125">
        <f>BE16</f>
        <v>17697</v>
      </c>
      <c r="BF26" s="125">
        <v>12</v>
      </c>
      <c r="BG26" s="125">
        <f>(AB26+AC26+AD26+AB65+AC65+AD65)*35%</f>
        <v>41189.767500000002</v>
      </c>
      <c r="BH26" s="125"/>
      <c r="BI26" s="125"/>
      <c r="BJ26" s="125"/>
      <c r="BK26" s="120">
        <f>AG26+AU26+AZ26+BB26+BD26+BE26+BG26</f>
        <v>110316.21583333334</v>
      </c>
      <c r="BL26" s="120">
        <f t="shared" si="4"/>
        <v>218194.17833333334</v>
      </c>
      <c r="BM26" s="120">
        <f t="shared" si="5"/>
        <v>108576.01083333333</v>
      </c>
      <c r="BN26" s="120">
        <f t="shared" si="19"/>
        <v>109618.16750000001</v>
      </c>
      <c r="BO26" s="120">
        <f t="shared" si="20"/>
        <v>2618330.14</v>
      </c>
    </row>
    <row r="27" spans="2:67" ht="15.75" customHeight="1" x14ac:dyDescent="0.25">
      <c r="B27" s="80" t="s">
        <v>111</v>
      </c>
      <c r="C27" s="74" t="s">
        <v>112</v>
      </c>
      <c r="D27" s="72" t="s">
        <v>113</v>
      </c>
      <c r="E27" s="72" t="s">
        <v>79</v>
      </c>
      <c r="F27" s="74">
        <v>50</v>
      </c>
      <c r="G27" s="75">
        <v>43335</v>
      </c>
      <c r="H27" s="75">
        <v>45161</v>
      </c>
      <c r="I27" s="72" t="s">
        <v>114</v>
      </c>
      <c r="J27" s="72" t="s">
        <v>92</v>
      </c>
      <c r="K27" s="74" t="s">
        <v>87</v>
      </c>
      <c r="L27" s="76">
        <v>21.09</v>
      </c>
      <c r="M27" s="76">
        <v>5.32</v>
      </c>
      <c r="N27" s="77">
        <v>17697</v>
      </c>
      <c r="O27" s="78">
        <f t="shared" si="0"/>
        <v>94148.040000000008</v>
      </c>
      <c r="P27" s="74"/>
      <c r="Q27" s="74">
        <v>17.5</v>
      </c>
      <c r="R27" s="74">
        <v>6</v>
      </c>
      <c r="S27" s="114"/>
      <c r="T27" s="115"/>
      <c r="U27" s="114"/>
      <c r="V27" s="78">
        <f t="shared" si="6"/>
        <v>0</v>
      </c>
      <c r="W27" s="78">
        <f t="shared" si="7"/>
        <v>91532.816666666666</v>
      </c>
      <c r="X27" s="78">
        <f t="shared" si="8"/>
        <v>31382.68</v>
      </c>
      <c r="Y27" s="79"/>
      <c r="Z27" s="79"/>
      <c r="AA27" s="79"/>
      <c r="AB27" s="78">
        <f t="shared" si="9"/>
        <v>122915.49666666667</v>
      </c>
      <c r="AC27" s="78">
        <f t="shared" si="10"/>
        <v>61457.748333333337</v>
      </c>
      <c r="AD27" s="78">
        <f t="shared" si="11"/>
        <v>46093.311249999999</v>
      </c>
      <c r="AE27" s="78">
        <f t="shared" si="12"/>
        <v>23046.655624999999</v>
      </c>
      <c r="AF27" s="78">
        <f t="shared" si="13"/>
        <v>253513.21187499998</v>
      </c>
      <c r="AG27" s="120"/>
      <c r="AH27" s="125"/>
      <c r="AI27" s="125">
        <f t="shared" si="22"/>
        <v>0</v>
      </c>
      <c r="AJ27" s="125"/>
      <c r="AK27" s="125">
        <f t="shared" si="2"/>
        <v>0</v>
      </c>
      <c r="AL27" s="125">
        <f t="shared" si="14"/>
        <v>0</v>
      </c>
      <c r="AM27" s="125">
        <f t="shared" si="15"/>
        <v>0</v>
      </c>
      <c r="AN27" s="125"/>
      <c r="AO27" s="125">
        <f t="shared" si="21"/>
        <v>0</v>
      </c>
      <c r="AP27" s="131" t="s">
        <v>224</v>
      </c>
      <c r="AQ27" s="125">
        <f>N27/18*AP27*40%</f>
        <v>4620.8833333333332</v>
      </c>
      <c r="AR27" s="131">
        <f t="shared" si="16"/>
        <v>11.75</v>
      </c>
      <c r="AS27" s="125">
        <f t="shared" si="16"/>
        <v>4620.8833333333332</v>
      </c>
      <c r="AT27" s="131">
        <f t="shared" si="17"/>
        <v>11.75</v>
      </c>
      <c r="AU27" s="125">
        <f t="shared" si="17"/>
        <v>4620.8833333333332</v>
      </c>
      <c r="AV27" s="126">
        <v>10</v>
      </c>
      <c r="AW27" s="126"/>
      <c r="AX27" s="130"/>
      <c r="AY27" s="126">
        <v>1</v>
      </c>
      <c r="AZ27" s="125">
        <f>N27*60%</f>
        <v>10618.199999999999</v>
      </c>
      <c r="BA27" s="129">
        <v>1</v>
      </c>
      <c r="BB27" s="129">
        <f>N27*20%</f>
        <v>3539.4</v>
      </c>
      <c r="BC27" s="126">
        <v>25.5</v>
      </c>
      <c r="BD27" s="125">
        <f>(AB27+AC27+AD27+AB59+AC59+AD59)*30%</f>
        <v>75024.219374999986</v>
      </c>
      <c r="BE27" s="125"/>
      <c r="BF27" s="131" t="s">
        <v>237</v>
      </c>
      <c r="BG27" s="125">
        <f>(AB27+AC27+AD27+AB59+AC59+AD59)*40%</f>
        <v>100032.2925</v>
      </c>
      <c r="BH27" s="125"/>
      <c r="BI27" s="125"/>
      <c r="BJ27" s="125"/>
      <c r="BK27" s="120">
        <f>AG27+AU27+AZ27+BB27+BD27+BE27+BG27</f>
        <v>193834.9952083333</v>
      </c>
      <c r="BL27" s="120">
        <f t="shared" si="4"/>
        <v>447348.20708333328</v>
      </c>
      <c r="BM27" s="120">
        <f t="shared" si="5"/>
        <v>205621.93458333332</v>
      </c>
      <c r="BN27" s="120">
        <f t="shared" si="19"/>
        <v>241726.27249999996</v>
      </c>
      <c r="BO27" s="120">
        <f t="shared" si="20"/>
        <v>5368178.4849999994</v>
      </c>
    </row>
    <row r="28" spans="2:67" ht="15.75" customHeight="1" x14ac:dyDescent="0.25">
      <c r="B28" s="72" t="s">
        <v>115</v>
      </c>
      <c r="C28" s="74" t="s">
        <v>116</v>
      </c>
      <c r="D28" s="72" t="s">
        <v>117</v>
      </c>
      <c r="E28" s="72" t="s">
        <v>118</v>
      </c>
      <c r="F28" s="74">
        <v>32</v>
      </c>
      <c r="G28" s="75">
        <v>42529</v>
      </c>
      <c r="H28" s="75">
        <v>44355</v>
      </c>
      <c r="I28" s="72" t="s">
        <v>119</v>
      </c>
      <c r="J28" s="72" t="s">
        <v>106</v>
      </c>
      <c r="K28" s="74" t="s">
        <v>239</v>
      </c>
      <c r="L28" s="76">
        <v>37.01</v>
      </c>
      <c r="M28" s="76">
        <v>4.29</v>
      </c>
      <c r="N28" s="77">
        <v>17697</v>
      </c>
      <c r="O28" s="78">
        <f t="shared" si="0"/>
        <v>75920.13</v>
      </c>
      <c r="P28" s="74"/>
      <c r="Q28" s="73">
        <v>5</v>
      </c>
      <c r="R28" s="73"/>
      <c r="S28" s="114"/>
      <c r="T28" s="114"/>
      <c r="U28" s="114"/>
      <c r="V28" s="78">
        <f t="shared" si="6"/>
        <v>0</v>
      </c>
      <c r="W28" s="78">
        <f t="shared" si="7"/>
        <v>21088.924999999999</v>
      </c>
      <c r="X28" s="78">
        <f t="shared" si="8"/>
        <v>0</v>
      </c>
      <c r="Y28" s="79"/>
      <c r="Z28" s="79"/>
      <c r="AA28" s="79"/>
      <c r="AB28" s="78">
        <f t="shared" si="9"/>
        <v>21088.924999999999</v>
      </c>
      <c r="AC28" s="78">
        <f t="shared" si="10"/>
        <v>10544.4625</v>
      </c>
      <c r="AD28" s="78">
        <f t="shared" si="11"/>
        <v>7908.3468749999993</v>
      </c>
      <c r="AE28" s="78">
        <f t="shared" si="12"/>
        <v>3954.1734375000001</v>
      </c>
      <c r="AF28" s="78">
        <f t="shared" si="13"/>
        <v>43495.907812500001</v>
      </c>
      <c r="AG28" s="120"/>
      <c r="AH28" s="125"/>
      <c r="AI28" s="125">
        <f t="shared" si="22"/>
        <v>0</v>
      </c>
      <c r="AJ28" s="125"/>
      <c r="AK28" s="125">
        <f t="shared" si="2"/>
        <v>0</v>
      </c>
      <c r="AL28" s="125">
        <f t="shared" si="14"/>
        <v>0</v>
      </c>
      <c r="AM28" s="125">
        <f t="shared" si="15"/>
        <v>0</v>
      </c>
      <c r="AN28" s="125"/>
      <c r="AO28" s="125">
        <f t="shared" si="21"/>
        <v>0</v>
      </c>
      <c r="AP28" s="125"/>
      <c r="AQ28" s="125">
        <f t="shared" si="23"/>
        <v>0</v>
      </c>
      <c r="AR28" s="131">
        <f t="shared" si="16"/>
        <v>0</v>
      </c>
      <c r="AS28" s="125">
        <f t="shared" si="16"/>
        <v>0</v>
      </c>
      <c r="AT28" s="125">
        <f t="shared" si="17"/>
        <v>0</v>
      </c>
      <c r="AU28" s="125">
        <f t="shared" si="17"/>
        <v>0</v>
      </c>
      <c r="AV28" s="126"/>
      <c r="AW28" s="126"/>
      <c r="AX28" s="130"/>
      <c r="AY28" s="126"/>
      <c r="AZ28" s="125"/>
      <c r="BA28" s="129"/>
      <c r="BB28" s="129"/>
      <c r="BC28" s="126">
        <v>15</v>
      </c>
      <c r="BD28" s="125">
        <f>(AB28+AC28+AD28+AB50+AC50+AD50+AB70+AC70+AD70+AB53+AC53+AD53+AB55+AC55+AD55+AB57+AC57+AD57)*30%</f>
        <v>35587.560937499999</v>
      </c>
      <c r="BE28" s="125"/>
      <c r="BF28" s="131" t="s">
        <v>209</v>
      </c>
      <c r="BG28" s="125">
        <f>(AB28+AC28+AD28+AB50+AC50+AD50+AB53+AC53+AD53+AB55+AC55+AD55+AB57+AC57+AD57+AB70+AC70+AD70)*35%</f>
        <v>41518.821093749997</v>
      </c>
      <c r="BH28" s="125"/>
      <c r="BI28" s="125"/>
      <c r="BJ28" s="125"/>
      <c r="BK28" s="120">
        <f>AG28+AU28+AZ28+BB28+BD28+BE28+BG28</f>
        <v>77106.382031249988</v>
      </c>
      <c r="BL28" s="120">
        <f t="shared" si="4"/>
        <v>120602.28984374998</v>
      </c>
      <c r="BM28" s="120">
        <f t="shared" si="5"/>
        <v>57994.543749999997</v>
      </c>
      <c r="BN28" s="120">
        <f t="shared" si="19"/>
        <v>62607.746093749985</v>
      </c>
      <c r="BO28" s="120">
        <f t="shared" si="20"/>
        <v>1447227.4781249999</v>
      </c>
    </row>
    <row r="29" spans="2:67" ht="15.75" customHeight="1" x14ac:dyDescent="0.25">
      <c r="B29" s="29" t="s">
        <v>120</v>
      </c>
      <c r="C29" s="74" t="s">
        <v>121</v>
      </c>
      <c r="D29" s="72" t="s">
        <v>122</v>
      </c>
      <c r="E29" s="72" t="s">
        <v>79</v>
      </c>
      <c r="F29" s="74">
        <v>49</v>
      </c>
      <c r="G29" s="75">
        <v>43335</v>
      </c>
      <c r="H29" s="75">
        <v>45161</v>
      </c>
      <c r="I29" s="72" t="s">
        <v>123</v>
      </c>
      <c r="J29" s="72" t="s">
        <v>92</v>
      </c>
      <c r="K29" s="74" t="s">
        <v>87</v>
      </c>
      <c r="L29" s="76">
        <v>17.04</v>
      </c>
      <c r="M29" s="76">
        <v>5.24</v>
      </c>
      <c r="N29" s="77">
        <v>17697</v>
      </c>
      <c r="O29" s="78">
        <f t="shared" si="0"/>
        <v>92732.28</v>
      </c>
      <c r="P29" s="74">
        <v>8</v>
      </c>
      <c r="Q29" s="74">
        <v>12</v>
      </c>
      <c r="R29" s="86">
        <v>6</v>
      </c>
      <c r="S29" s="114"/>
      <c r="T29" s="114"/>
      <c r="U29" s="114"/>
      <c r="V29" s="78">
        <f t="shared" si="6"/>
        <v>41214.346666666665</v>
      </c>
      <c r="W29" s="78">
        <f t="shared" si="7"/>
        <v>61821.52</v>
      </c>
      <c r="X29" s="78">
        <f t="shared" si="8"/>
        <v>30910.76</v>
      </c>
      <c r="Y29" s="79"/>
      <c r="Z29" s="79"/>
      <c r="AA29" s="79"/>
      <c r="AB29" s="78">
        <f t="shared" si="9"/>
        <v>133946.62666666668</v>
      </c>
      <c r="AC29" s="78">
        <f t="shared" si="10"/>
        <v>66973.313333333339</v>
      </c>
      <c r="AD29" s="78">
        <f t="shared" si="11"/>
        <v>50229.985000000001</v>
      </c>
      <c r="AE29" s="78">
        <f t="shared" si="12"/>
        <v>25114.9925</v>
      </c>
      <c r="AF29" s="78">
        <f t="shared" si="13"/>
        <v>276264.91749999998</v>
      </c>
      <c r="AG29" s="120"/>
      <c r="AH29" s="125"/>
      <c r="AI29" s="125">
        <f t="shared" si="22"/>
        <v>0</v>
      </c>
      <c r="AJ29" s="125">
        <v>4</v>
      </c>
      <c r="AK29" s="125">
        <f>N29/18*AJ29*50%</f>
        <v>1966.3333333333333</v>
      </c>
      <c r="AL29" s="125">
        <f>AJ29</f>
        <v>4</v>
      </c>
      <c r="AM29" s="125">
        <f t="shared" si="15"/>
        <v>1966.3333333333333</v>
      </c>
      <c r="AN29" s="125"/>
      <c r="AO29" s="125">
        <f t="shared" si="21"/>
        <v>0</v>
      </c>
      <c r="AP29" s="125">
        <v>9</v>
      </c>
      <c r="AQ29" s="125">
        <f t="shared" si="23"/>
        <v>3539.4</v>
      </c>
      <c r="AR29" s="131">
        <f t="shared" si="16"/>
        <v>9</v>
      </c>
      <c r="AS29" s="125">
        <f t="shared" si="16"/>
        <v>3539.4</v>
      </c>
      <c r="AT29" s="125">
        <f t="shared" si="17"/>
        <v>13</v>
      </c>
      <c r="AU29" s="125">
        <f t="shared" si="17"/>
        <v>5505.7333333333336</v>
      </c>
      <c r="AV29" s="126">
        <v>9</v>
      </c>
      <c r="AW29" s="126"/>
      <c r="AX29" s="130">
        <v>1</v>
      </c>
      <c r="AY29" s="126"/>
      <c r="AZ29" s="125">
        <f t="shared" ref="AZ29" si="24">N29*60%</f>
        <v>10618.199999999999</v>
      </c>
      <c r="BA29" s="129"/>
      <c r="BB29" s="129"/>
      <c r="BC29" s="126">
        <v>26</v>
      </c>
      <c r="BD29" s="125">
        <f t="shared" ref="BD29:BD44" si="25">(AB29+AC29+AD29)*30%</f>
        <v>75344.977499999994</v>
      </c>
      <c r="BE29" s="125"/>
      <c r="BF29" s="125">
        <v>26</v>
      </c>
      <c r="BG29" s="125">
        <f>(AB29+AC29+AD29)*40%</f>
        <v>100459.97</v>
      </c>
      <c r="BH29" s="125">
        <f>7079/18*8</f>
        <v>3146.2222222222222</v>
      </c>
      <c r="BI29" s="125"/>
      <c r="BJ29" s="125"/>
      <c r="BK29" s="120">
        <f>AG29+AU29+AZ29+BB29+BD29+BE29+BG29+BH29</f>
        <v>195075.10305555555</v>
      </c>
      <c r="BL29" s="120">
        <f t="shared" si="4"/>
        <v>471340.02055555553</v>
      </c>
      <c r="BM29" s="120">
        <f t="shared" si="5"/>
        <v>217663.26833333331</v>
      </c>
      <c r="BN29" s="120">
        <f t="shared" si="19"/>
        <v>253676.75222222222</v>
      </c>
      <c r="BO29" s="120">
        <f t="shared" si="20"/>
        <v>5656080.2466666661</v>
      </c>
    </row>
    <row r="30" spans="2:67" ht="15.75" customHeight="1" x14ac:dyDescent="0.25">
      <c r="B30" s="83" t="s">
        <v>124</v>
      </c>
      <c r="C30" s="74" t="s">
        <v>195</v>
      </c>
      <c r="D30" s="156" t="s">
        <v>125</v>
      </c>
      <c r="E30" s="72" t="s">
        <v>79</v>
      </c>
      <c r="F30" s="74">
        <v>51</v>
      </c>
      <c r="G30" s="75">
        <v>43335</v>
      </c>
      <c r="H30" s="75">
        <v>45161</v>
      </c>
      <c r="I30" s="72" t="s">
        <v>101</v>
      </c>
      <c r="J30" s="72" t="s">
        <v>92</v>
      </c>
      <c r="K30" s="74" t="s">
        <v>87</v>
      </c>
      <c r="L30" s="84">
        <v>29.11</v>
      </c>
      <c r="M30" s="76">
        <v>5.41</v>
      </c>
      <c r="N30" s="77">
        <v>17697</v>
      </c>
      <c r="O30" s="78">
        <f t="shared" si="0"/>
        <v>95740.77</v>
      </c>
      <c r="P30" s="74">
        <v>18</v>
      </c>
      <c r="Q30" s="74"/>
      <c r="R30" s="74"/>
      <c r="S30" s="114"/>
      <c r="T30" s="114"/>
      <c r="U30" s="114"/>
      <c r="V30" s="78">
        <f t="shared" si="6"/>
        <v>95740.770000000019</v>
      </c>
      <c r="W30" s="78">
        <f t="shared" si="7"/>
        <v>0</v>
      </c>
      <c r="X30" s="78">
        <f t="shared" si="8"/>
        <v>0</v>
      </c>
      <c r="Y30" s="79"/>
      <c r="Z30" s="79"/>
      <c r="AA30" s="79"/>
      <c r="AB30" s="78">
        <f t="shared" si="9"/>
        <v>95740.770000000019</v>
      </c>
      <c r="AC30" s="78">
        <f t="shared" si="10"/>
        <v>47870.385000000009</v>
      </c>
      <c r="AD30" s="78">
        <f t="shared" si="11"/>
        <v>35902.788750000007</v>
      </c>
      <c r="AE30" s="78">
        <f t="shared" si="12"/>
        <v>17951.394375000003</v>
      </c>
      <c r="AF30" s="78">
        <f t="shared" si="13"/>
        <v>197465.33812500004</v>
      </c>
      <c r="AG30" s="120"/>
      <c r="AH30" s="130">
        <v>9</v>
      </c>
      <c r="AI30" s="125">
        <f t="shared" si="22"/>
        <v>3539.4</v>
      </c>
      <c r="AJ30" s="125"/>
      <c r="AK30" s="125"/>
      <c r="AL30" s="125">
        <f t="shared" si="14"/>
        <v>9</v>
      </c>
      <c r="AM30" s="125">
        <f t="shared" si="15"/>
        <v>3539.4</v>
      </c>
      <c r="AN30" s="125"/>
      <c r="AO30" s="125">
        <f t="shared" si="21"/>
        <v>0</v>
      </c>
      <c r="AP30" s="125"/>
      <c r="AQ30" s="125">
        <f t="shared" si="23"/>
        <v>0</v>
      </c>
      <c r="AR30" s="131">
        <f t="shared" si="16"/>
        <v>0</v>
      </c>
      <c r="AS30" s="125">
        <f t="shared" si="16"/>
        <v>0</v>
      </c>
      <c r="AT30" s="125">
        <f t="shared" si="17"/>
        <v>9</v>
      </c>
      <c r="AU30" s="125">
        <f t="shared" si="17"/>
        <v>3539.4</v>
      </c>
      <c r="AV30" s="126">
        <v>2</v>
      </c>
      <c r="AW30" s="126">
        <v>1</v>
      </c>
      <c r="AX30" s="130"/>
      <c r="AY30" s="127"/>
      <c r="AZ30" s="125">
        <f>N30*50%</f>
        <v>8848.5</v>
      </c>
      <c r="BA30" s="129"/>
      <c r="BB30" s="129"/>
      <c r="BC30" s="126">
        <v>20</v>
      </c>
      <c r="BD30" s="125">
        <f>(AB30+AC30+AD30+AB52+AC52+AD52+AB72+AC72+AD72)*30%</f>
        <v>59837.981249999997</v>
      </c>
      <c r="BE30" s="125"/>
      <c r="BF30" s="125">
        <v>20</v>
      </c>
      <c r="BG30" s="125">
        <f>(AB30+AC30+AD30+AB52+AC52+AD52+AB72+AC72+AD72)*40%</f>
        <v>79783.975000000006</v>
      </c>
      <c r="BH30" s="125"/>
      <c r="BI30" s="125"/>
      <c r="BJ30" s="125"/>
      <c r="BK30" s="120">
        <f>AG30+AU30+AZ30+BB30+BD30+BE30+BG30+BH30</f>
        <v>152009.85625000001</v>
      </c>
      <c r="BL30" s="120">
        <f t="shared" si="4"/>
        <v>349475.19437500008</v>
      </c>
      <c r="BM30" s="120">
        <f t="shared" si="5"/>
        <v>161562.549375</v>
      </c>
      <c r="BN30" s="120">
        <f t="shared" si="19"/>
        <v>187912.64500000008</v>
      </c>
      <c r="BO30" s="120">
        <f t="shared" si="20"/>
        <v>4193702.3325000009</v>
      </c>
    </row>
    <row r="31" spans="2:67" ht="15.75" customHeight="1" x14ac:dyDescent="0.25">
      <c r="B31" s="72" t="s">
        <v>126</v>
      </c>
      <c r="C31" s="74" t="s">
        <v>83</v>
      </c>
      <c r="D31" s="72" t="s">
        <v>127</v>
      </c>
      <c r="E31" s="72" t="s">
        <v>79</v>
      </c>
      <c r="F31" s="74">
        <v>55</v>
      </c>
      <c r="G31" s="72" t="s">
        <v>128</v>
      </c>
      <c r="H31" s="72" t="s">
        <v>97</v>
      </c>
      <c r="I31" s="72" t="s">
        <v>85</v>
      </c>
      <c r="J31" s="72" t="s">
        <v>86</v>
      </c>
      <c r="K31" s="74" t="s">
        <v>87</v>
      </c>
      <c r="L31" s="76">
        <v>32.03</v>
      </c>
      <c r="M31" s="76">
        <v>5.41</v>
      </c>
      <c r="N31" s="77">
        <v>17697</v>
      </c>
      <c r="O31" s="78">
        <f t="shared" si="0"/>
        <v>95740.77</v>
      </c>
      <c r="P31" s="74"/>
      <c r="Q31" s="74">
        <v>15</v>
      </c>
      <c r="R31" s="74"/>
      <c r="S31" s="114"/>
      <c r="T31" s="114"/>
      <c r="U31" s="114"/>
      <c r="V31" s="78">
        <f t="shared" si="6"/>
        <v>0</v>
      </c>
      <c r="W31" s="78">
        <f t="shared" si="7"/>
        <v>79783.975000000006</v>
      </c>
      <c r="X31" s="78">
        <f t="shared" si="8"/>
        <v>0</v>
      </c>
      <c r="Y31" s="79"/>
      <c r="Z31" s="79"/>
      <c r="AA31" s="79"/>
      <c r="AB31" s="78">
        <f t="shared" si="9"/>
        <v>79783.975000000006</v>
      </c>
      <c r="AC31" s="78">
        <f t="shared" si="10"/>
        <v>39891.987500000003</v>
      </c>
      <c r="AD31" s="78">
        <f t="shared" si="11"/>
        <v>29918.990625000002</v>
      </c>
      <c r="AE31" s="78">
        <f t="shared" si="12"/>
        <v>14959.495312500001</v>
      </c>
      <c r="AF31" s="78">
        <f t="shared" si="13"/>
        <v>164554.44843749999</v>
      </c>
      <c r="AG31" s="120"/>
      <c r="AH31" s="125"/>
      <c r="AI31" s="125">
        <f t="shared" si="22"/>
        <v>0</v>
      </c>
      <c r="AJ31" s="125"/>
      <c r="AK31" s="125">
        <f t="shared" si="2"/>
        <v>0</v>
      </c>
      <c r="AL31" s="125">
        <f t="shared" si="14"/>
        <v>0</v>
      </c>
      <c r="AM31" s="125">
        <f t="shared" si="15"/>
        <v>0</v>
      </c>
      <c r="AN31" s="131">
        <v>7.5</v>
      </c>
      <c r="AO31" s="125">
        <f>N31/18*AN31*50%</f>
        <v>3686.875</v>
      </c>
      <c r="AP31" s="125"/>
      <c r="AQ31" s="125">
        <f t="shared" si="23"/>
        <v>0</v>
      </c>
      <c r="AR31" s="131">
        <f t="shared" si="16"/>
        <v>7.5</v>
      </c>
      <c r="AS31" s="125">
        <f t="shared" si="16"/>
        <v>3686.875</v>
      </c>
      <c r="AT31" s="131">
        <f t="shared" si="17"/>
        <v>7.5</v>
      </c>
      <c r="AU31" s="125">
        <f t="shared" si="17"/>
        <v>3686.875</v>
      </c>
      <c r="AV31" s="126"/>
      <c r="AW31" s="126"/>
      <c r="AX31" s="130"/>
      <c r="AY31" s="126"/>
      <c r="AZ31" s="125"/>
      <c r="BA31" s="129"/>
      <c r="BB31" s="129"/>
      <c r="BC31" s="126">
        <v>17</v>
      </c>
      <c r="BD31" s="125">
        <f>(AB31+AC31+AD31+AB48+AC48+AD48+AB62+AC62+AD62)*30%</f>
        <v>50862.284062499988</v>
      </c>
      <c r="BE31" s="125"/>
      <c r="BF31" s="131" t="s">
        <v>233</v>
      </c>
      <c r="BG31" s="125">
        <f>(AB31+AC31+AD31+AB48+AC48+AD48+AB62+AC62+AD62)*40%</f>
        <v>67816.378749999989</v>
      </c>
      <c r="BH31" s="125"/>
      <c r="BI31" s="125"/>
      <c r="BJ31" s="125"/>
      <c r="BK31" s="120">
        <f>AG31+AU31+AZ31+BB31+BD31+BE31+BG31+BH31</f>
        <v>122365.53781249997</v>
      </c>
      <c r="BL31" s="120">
        <f t="shared" si="4"/>
        <v>286919.98624999996</v>
      </c>
      <c r="BM31" s="120">
        <f t="shared" si="5"/>
        <v>135632.75750000001</v>
      </c>
      <c r="BN31" s="120">
        <f t="shared" si="19"/>
        <v>151287.22874999995</v>
      </c>
      <c r="BO31" s="120">
        <f t="shared" si="20"/>
        <v>3443039.8349999995</v>
      </c>
    </row>
    <row r="32" spans="2:67" ht="15.75" customHeight="1" x14ac:dyDescent="0.25">
      <c r="B32" s="72" t="s">
        <v>129</v>
      </c>
      <c r="C32" s="74" t="s">
        <v>196</v>
      </c>
      <c r="D32" s="72" t="s">
        <v>131</v>
      </c>
      <c r="E32" s="72" t="s">
        <v>79</v>
      </c>
      <c r="F32" s="74">
        <v>19</v>
      </c>
      <c r="G32" s="72"/>
      <c r="H32" s="72"/>
      <c r="I32" s="72" t="s">
        <v>101</v>
      </c>
      <c r="J32" s="72" t="s">
        <v>106</v>
      </c>
      <c r="K32" s="74" t="s">
        <v>81</v>
      </c>
      <c r="L32" s="76">
        <v>14.09</v>
      </c>
      <c r="M32" s="76">
        <v>4.95</v>
      </c>
      <c r="N32" s="77">
        <v>17697</v>
      </c>
      <c r="O32" s="78">
        <f t="shared" si="0"/>
        <v>87600.150000000009</v>
      </c>
      <c r="P32" s="74">
        <v>17</v>
      </c>
      <c r="Q32" s="74"/>
      <c r="R32" s="74"/>
      <c r="S32" s="114"/>
      <c r="T32" s="114"/>
      <c r="U32" s="114"/>
      <c r="V32" s="78">
        <f t="shared" si="6"/>
        <v>82733.475000000006</v>
      </c>
      <c r="W32" s="78">
        <f t="shared" si="7"/>
        <v>0</v>
      </c>
      <c r="X32" s="78">
        <f t="shared" si="8"/>
        <v>0</v>
      </c>
      <c r="Y32" s="79"/>
      <c r="Z32" s="79"/>
      <c r="AA32" s="79"/>
      <c r="AB32" s="78">
        <f t="shared" si="9"/>
        <v>82733.475000000006</v>
      </c>
      <c r="AC32" s="78">
        <f t="shared" si="10"/>
        <v>41366.737500000003</v>
      </c>
      <c r="AD32" s="78">
        <f t="shared" si="11"/>
        <v>31025.053125000002</v>
      </c>
      <c r="AE32" s="78">
        <f t="shared" si="12"/>
        <v>15512.526562500001</v>
      </c>
      <c r="AF32" s="78">
        <f t="shared" si="13"/>
        <v>170637.79218749999</v>
      </c>
      <c r="AG32" s="120"/>
      <c r="AH32" s="131">
        <v>8.5</v>
      </c>
      <c r="AI32" s="125">
        <f t="shared" si="22"/>
        <v>3342.7666666666664</v>
      </c>
      <c r="AJ32" s="125"/>
      <c r="AK32" s="125"/>
      <c r="AL32" s="131">
        <f t="shared" si="14"/>
        <v>8.5</v>
      </c>
      <c r="AM32" s="125">
        <f t="shared" si="15"/>
        <v>3342.7666666666664</v>
      </c>
      <c r="AN32" s="125"/>
      <c r="AO32" s="125">
        <f t="shared" si="21"/>
        <v>0</v>
      </c>
      <c r="AP32" s="125"/>
      <c r="AQ32" s="125">
        <f t="shared" si="23"/>
        <v>0</v>
      </c>
      <c r="AR32" s="131">
        <f t="shared" si="16"/>
        <v>0</v>
      </c>
      <c r="AS32" s="125">
        <f t="shared" si="16"/>
        <v>0</v>
      </c>
      <c r="AT32" s="125">
        <f t="shared" si="17"/>
        <v>8.5</v>
      </c>
      <c r="AU32" s="125">
        <f t="shared" si="17"/>
        <v>3342.7666666666664</v>
      </c>
      <c r="AV32" s="126">
        <v>1</v>
      </c>
      <c r="AW32" s="126">
        <v>1</v>
      </c>
      <c r="AX32" s="130"/>
      <c r="AY32" s="126"/>
      <c r="AZ32" s="125">
        <f>N31*50%</f>
        <v>8848.5</v>
      </c>
      <c r="BA32" s="129"/>
      <c r="BB32" s="129"/>
      <c r="BC32" s="126">
        <v>19</v>
      </c>
      <c r="BD32" s="125">
        <f>(AB32+AC32+AD32+AB73+AC73+AD73+AB75+AC75+AD75)*30%</f>
        <v>52012.589062499981</v>
      </c>
      <c r="BE32" s="125"/>
      <c r="BF32" s="132">
        <v>19</v>
      </c>
      <c r="BG32" s="125">
        <f>(AB32+AC32+AD32+AB73+AC73+AD73+AB75+AC75+AD75)*35%</f>
        <v>60681.353906249977</v>
      </c>
      <c r="BH32" s="125">
        <f>7079/18*19</f>
        <v>7472.2777777777774</v>
      </c>
      <c r="BI32" s="125"/>
      <c r="BJ32" s="125"/>
      <c r="BK32" s="120">
        <f>AG32+AU32+AZ32+BB32+BD32+BE32+BG32+BH32</f>
        <v>132357.48741319441</v>
      </c>
      <c r="BL32" s="120">
        <f t="shared" si="4"/>
        <v>302995.27960069443</v>
      </c>
      <c r="BM32" s="120">
        <f t="shared" si="5"/>
        <v>139916.90625</v>
      </c>
      <c r="BN32" s="120">
        <f t="shared" si="19"/>
        <v>163078.37335069443</v>
      </c>
      <c r="BO32" s="120">
        <f t="shared" si="20"/>
        <v>3635943.3552083331</v>
      </c>
    </row>
    <row r="33" spans="2:67" ht="15.75" customHeight="1" x14ac:dyDescent="0.25">
      <c r="B33" s="72" t="s">
        <v>134</v>
      </c>
      <c r="C33" s="74" t="s">
        <v>135</v>
      </c>
      <c r="D33" s="72" t="s">
        <v>194</v>
      </c>
      <c r="E33" s="72" t="s">
        <v>79</v>
      </c>
      <c r="F33" s="74">
        <v>30</v>
      </c>
      <c r="G33" s="72" t="s">
        <v>136</v>
      </c>
      <c r="H33" s="72" t="s">
        <v>137</v>
      </c>
      <c r="I33" s="72" t="s">
        <v>138</v>
      </c>
      <c r="J33" s="72" t="s">
        <v>106</v>
      </c>
      <c r="K33" s="74" t="s">
        <v>81</v>
      </c>
      <c r="L33" s="76">
        <v>32.049999999999997</v>
      </c>
      <c r="M33" s="76">
        <v>5.2</v>
      </c>
      <c r="N33" s="77">
        <v>17697</v>
      </c>
      <c r="O33" s="78">
        <f t="shared" si="0"/>
        <v>92024.400000000009</v>
      </c>
      <c r="P33" s="74"/>
      <c r="Q33" s="74">
        <v>12</v>
      </c>
      <c r="R33" s="74">
        <v>6</v>
      </c>
      <c r="S33" s="114"/>
      <c r="T33" s="114"/>
      <c r="U33" s="114"/>
      <c r="V33" s="78">
        <f t="shared" si="6"/>
        <v>0</v>
      </c>
      <c r="W33" s="78">
        <f t="shared" si="7"/>
        <v>61349.600000000006</v>
      </c>
      <c r="X33" s="78">
        <f t="shared" si="8"/>
        <v>30674.800000000003</v>
      </c>
      <c r="Y33" s="79"/>
      <c r="Z33" s="79"/>
      <c r="AA33" s="79"/>
      <c r="AB33" s="78">
        <f t="shared" si="9"/>
        <v>92024.400000000009</v>
      </c>
      <c r="AC33" s="78">
        <f t="shared" si="10"/>
        <v>46012.200000000004</v>
      </c>
      <c r="AD33" s="78">
        <f t="shared" si="11"/>
        <v>34509.15</v>
      </c>
      <c r="AE33" s="78">
        <f t="shared" si="12"/>
        <v>17254.575000000001</v>
      </c>
      <c r="AF33" s="78">
        <f t="shared" si="13"/>
        <v>189800.32500000001</v>
      </c>
      <c r="AG33" s="120"/>
      <c r="AH33" s="125"/>
      <c r="AI33" s="125">
        <f t="shared" si="22"/>
        <v>0</v>
      </c>
      <c r="AJ33" s="125"/>
      <c r="AK33" s="125">
        <f t="shared" ref="AK33:AK44" si="26">P33/18*2*40%</f>
        <v>0</v>
      </c>
      <c r="AL33" s="125">
        <f t="shared" si="14"/>
        <v>0</v>
      </c>
      <c r="AM33" s="125">
        <f t="shared" si="15"/>
        <v>0</v>
      </c>
      <c r="AN33" s="125"/>
      <c r="AO33" s="125">
        <f t="shared" si="21"/>
        <v>0</v>
      </c>
      <c r="AP33" s="125"/>
      <c r="AQ33" s="125">
        <f t="shared" si="23"/>
        <v>0</v>
      </c>
      <c r="AR33" s="131">
        <f t="shared" si="16"/>
        <v>0</v>
      </c>
      <c r="AS33" s="125">
        <f t="shared" si="16"/>
        <v>0</v>
      </c>
      <c r="AT33" s="125">
        <f t="shared" si="17"/>
        <v>0</v>
      </c>
      <c r="AU33" s="125">
        <f t="shared" si="17"/>
        <v>0</v>
      </c>
      <c r="AV33" s="126">
        <v>7</v>
      </c>
      <c r="AW33" s="126"/>
      <c r="AX33" s="130">
        <v>1</v>
      </c>
      <c r="AY33" s="126"/>
      <c r="AZ33" s="125">
        <f>N32*60%</f>
        <v>10618.199999999999</v>
      </c>
      <c r="BA33" s="129"/>
      <c r="BB33" s="129"/>
      <c r="BC33" s="126">
        <v>21</v>
      </c>
      <c r="BD33" s="125">
        <f>(AB33+AC33+AD33+AB74+AC74+AD74)*30%</f>
        <v>60391.012499999997</v>
      </c>
      <c r="BE33" s="125"/>
      <c r="BF33" s="125">
        <v>21</v>
      </c>
      <c r="BG33" s="125">
        <f>(AB33+AC33+AD33+AB74+AC74+AD74)*35%</f>
        <v>70456.181249999994</v>
      </c>
      <c r="BH33" s="125"/>
      <c r="BI33" s="125"/>
      <c r="BJ33" s="125">
        <v>17697</v>
      </c>
      <c r="BK33" s="120">
        <f>AG33+AU33+AZ33+BB33+BD33+BE33+BG33+BH33+BJ33</f>
        <v>159162.39374999999</v>
      </c>
      <c r="BL33" s="120">
        <f t="shared" si="4"/>
        <v>348962.71875</v>
      </c>
      <c r="BM33" s="120">
        <f t="shared" si="5"/>
        <v>158166.9375</v>
      </c>
      <c r="BN33" s="120">
        <f t="shared" si="19"/>
        <v>190795.78125</v>
      </c>
      <c r="BO33" s="120">
        <f t="shared" si="20"/>
        <v>4187552.625</v>
      </c>
    </row>
    <row r="34" spans="2:67" ht="15.75" customHeight="1" x14ac:dyDescent="0.25">
      <c r="B34" s="72" t="s">
        <v>220</v>
      </c>
      <c r="C34" s="74" t="s">
        <v>222</v>
      </c>
      <c r="D34" s="72" t="s">
        <v>223</v>
      </c>
      <c r="E34" s="72" t="s">
        <v>79</v>
      </c>
      <c r="F34" s="74"/>
      <c r="G34" s="72"/>
      <c r="H34" s="72"/>
      <c r="I34" s="72"/>
      <c r="J34" s="72" t="s">
        <v>156</v>
      </c>
      <c r="K34" s="74" t="s">
        <v>157</v>
      </c>
      <c r="L34" s="76">
        <v>40.049999999999997</v>
      </c>
      <c r="M34" s="76">
        <v>4.7300000000000004</v>
      </c>
      <c r="N34" s="77">
        <v>17697</v>
      </c>
      <c r="O34" s="78">
        <f t="shared" si="0"/>
        <v>83706.810000000012</v>
      </c>
      <c r="P34" s="74"/>
      <c r="Q34" s="74">
        <v>1.5</v>
      </c>
      <c r="R34" s="74"/>
      <c r="S34" s="114"/>
      <c r="T34" s="114"/>
      <c r="U34" s="114"/>
      <c r="V34" s="78"/>
      <c r="W34" s="78">
        <f t="shared" si="7"/>
        <v>6975.567500000001</v>
      </c>
      <c r="X34" s="78"/>
      <c r="Y34" s="79"/>
      <c r="Z34" s="79"/>
      <c r="AA34" s="79"/>
      <c r="AB34" s="78">
        <f t="shared" si="9"/>
        <v>6975.567500000001</v>
      </c>
      <c r="AC34" s="78">
        <f t="shared" si="10"/>
        <v>3487.7837500000005</v>
      </c>
      <c r="AD34" s="78">
        <f t="shared" si="11"/>
        <v>2615.8378125000004</v>
      </c>
      <c r="AE34" s="78">
        <f t="shared" si="12"/>
        <v>1307.9189062500002</v>
      </c>
      <c r="AF34" s="78">
        <f t="shared" si="13"/>
        <v>14387.107968750002</v>
      </c>
      <c r="AG34" s="120"/>
      <c r="AH34" s="125"/>
      <c r="AI34" s="125"/>
      <c r="AJ34" s="125"/>
      <c r="AK34" s="125"/>
      <c r="AL34" s="125"/>
      <c r="AM34" s="125"/>
      <c r="AN34" s="131">
        <v>0.75</v>
      </c>
      <c r="AO34" s="125">
        <f>N34/18*AN34*50%</f>
        <v>368.6875</v>
      </c>
      <c r="AP34" s="125"/>
      <c r="AQ34" s="125"/>
      <c r="AR34" s="131" t="s">
        <v>227</v>
      </c>
      <c r="AS34" s="125">
        <f t="shared" si="16"/>
        <v>368.6875</v>
      </c>
      <c r="AT34" s="125" t="str">
        <f>AR34</f>
        <v>0,75</v>
      </c>
      <c r="AU34" s="125">
        <f>AS34</f>
        <v>368.6875</v>
      </c>
      <c r="AV34" s="126"/>
      <c r="AW34" s="126"/>
      <c r="AX34" s="130"/>
      <c r="AY34" s="126"/>
      <c r="AZ34" s="125"/>
      <c r="BA34" s="129"/>
      <c r="BB34" s="129"/>
      <c r="BC34" s="126">
        <v>1.5</v>
      </c>
      <c r="BD34" s="125">
        <f t="shared" si="25"/>
        <v>3923.7567187500003</v>
      </c>
      <c r="BE34" s="125"/>
      <c r="BF34" s="125"/>
      <c r="BG34" s="125"/>
      <c r="BH34" s="125"/>
      <c r="BI34" s="125"/>
      <c r="BJ34" s="125"/>
      <c r="BK34" s="120">
        <f t="shared" ref="BK34:BK44" si="27">AG34+AU34+AZ34+BB34+BD34+BE34+BG34+BH34</f>
        <v>4292.4442187500008</v>
      </c>
      <c r="BL34" s="120">
        <f t="shared" si="4"/>
        <v>18679.552187500005</v>
      </c>
      <c r="BM34" s="120">
        <f t="shared" si="5"/>
        <v>11335.2971875</v>
      </c>
      <c r="BN34" s="120">
        <f t="shared" si="19"/>
        <v>7344.2550000000047</v>
      </c>
      <c r="BO34" s="120">
        <f t="shared" si="20"/>
        <v>224154.62625000006</v>
      </c>
    </row>
    <row r="35" spans="2:67" ht="15.75" customHeight="1" x14ac:dyDescent="0.25">
      <c r="B35" s="83" t="s">
        <v>139</v>
      </c>
      <c r="C35" s="74" t="s">
        <v>221</v>
      </c>
      <c r="D35" s="72" t="s">
        <v>141</v>
      </c>
      <c r="E35" s="72" t="s">
        <v>79</v>
      </c>
      <c r="F35" s="74">
        <v>29</v>
      </c>
      <c r="G35" s="72" t="s">
        <v>136</v>
      </c>
      <c r="H35" s="72" t="s">
        <v>137</v>
      </c>
      <c r="I35" s="72" t="s">
        <v>101</v>
      </c>
      <c r="J35" s="72" t="s">
        <v>156</v>
      </c>
      <c r="K35" s="74" t="s">
        <v>157</v>
      </c>
      <c r="L35" s="76">
        <v>38.03</v>
      </c>
      <c r="M35" s="76">
        <v>4.7300000000000004</v>
      </c>
      <c r="N35" s="77">
        <v>17697</v>
      </c>
      <c r="O35" s="78">
        <f t="shared" si="0"/>
        <v>83706.810000000012</v>
      </c>
      <c r="P35" s="74"/>
      <c r="Q35" s="74">
        <v>1.5</v>
      </c>
      <c r="R35" s="74"/>
      <c r="S35" s="114"/>
      <c r="T35" s="114"/>
      <c r="U35" s="114"/>
      <c r="V35" s="78"/>
      <c r="W35" s="78">
        <f t="shared" si="7"/>
        <v>6975.567500000001</v>
      </c>
      <c r="X35" s="78"/>
      <c r="Y35" s="79"/>
      <c r="Z35" s="79"/>
      <c r="AA35" s="79"/>
      <c r="AB35" s="78">
        <f t="shared" si="9"/>
        <v>6975.567500000001</v>
      </c>
      <c r="AC35" s="78">
        <f t="shared" si="10"/>
        <v>3487.7837500000005</v>
      </c>
      <c r="AD35" s="78">
        <f t="shared" si="11"/>
        <v>2615.8378125000004</v>
      </c>
      <c r="AE35" s="78">
        <f t="shared" si="12"/>
        <v>1307.9189062500002</v>
      </c>
      <c r="AF35" s="78">
        <f t="shared" si="13"/>
        <v>14387.107968750002</v>
      </c>
      <c r="AG35" s="120"/>
      <c r="AH35" s="125"/>
      <c r="AI35" s="125"/>
      <c r="AJ35" s="125"/>
      <c r="AK35" s="125"/>
      <c r="AL35" s="125"/>
      <c r="AM35" s="125"/>
      <c r="AN35" s="131">
        <v>0.75</v>
      </c>
      <c r="AO35" s="125">
        <f>N35/18*AN35*50%</f>
        <v>368.6875</v>
      </c>
      <c r="AP35" s="125"/>
      <c r="AQ35" s="125"/>
      <c r="AR35" s="131" t="s">
        <v>227</v>
      </c>
      <c r="AS35" s="125">
        <f t="shared" si="16"/>
        <v>368.6875</v>
      </c>
      <c r="AT35" s="125" t="str">
        <f>AR35</f>
        <v>0,75</v>
      </c>
      <c r="AU35" s="125">
        <f>AS35</f>
        <v>368.6875</v>
      </c>
      <c r="AV35" s="126"/>
      <c r="AW35" s="126"/>
      <c r="AX35" s="130"/>
      <c r="AY35" s="126"/>
      <c r="AZ35" s="125"/>
      <c r="BA35" s="129"/>
      <c r="BB35" s="129"/>
      <c r="BC35" s="126">
        <v>1.5</v>
      </c>
      <c r="BD35" s="125">
        <f t="shared" si="25"/>
        <v>3923.7567187500003</v>
      </c>
      <c r="BE35" s="125"/>
      <c r="BF35" s="125"/>
      <c r="BG35" s="125"/>
      <c r="BH35" s="125"/>
      <c r="BI35" s="125"/>
      <c r="BJ35" s="125"/>
      <c r="BK35" s="120">
        <f t="shared" si="27"/>
        <v>4292.4442187500008</v>
      </c>
      <c r="BL35" s="120">
        <f t="shared" si="4"/>
        <v>18679.552187500005</v>
      </c>
      <c r="BM35" s="120">
        <f t="shared" si="5"/>
        <v>11335.2971875</v>
      </c>
      <c r="BN35" s="120">
        <f t="shared" si="19"/>
        <v>7344.2550000000047</v>
      </c>
      <c r="BO35" s="120">
        <f t="shared" si="20"/>
        <v>224154.62625000006</v>
      </c>
    </row>
    <row r="36" spans="2:67" ht="15.75" customHeight="1" x14ac:dyDescent="0.25">
      <c r="B36" s="83" t="s">
        <v>139</v>
      </c>
      <c r="C36" s="74" t="s">
        <v>140</v>
      </c>
      <c r="D36" s="72" t="s">
        <v>141</v>
      </c>
      <c r="E36" s="72" t="s">
        <v>79</v>
      </c>
      <c r="F36" s="74">
        <v>29</v>
      </c>
      <c r="G36" s="72" t="s">
        <v>136</v>
      </c>
      <c r="H36" s="72" t="s">
        <v>137</v>
      </c>
      <c r="I36" s="72" t="s">
        <v>101</v>
      </c>
      <c r="J36" s="72" t="s">
        <v>79</v>
      </c>
      <c r="K36" s="74" t="s">
        <v>87</v>
      </c>
      <c r="L36" s="76">
        <v>38.03</v>
      </c>
      <c r="M36" s="76">
        <v>5.41</v>
      </c>
      <c r="N36" s="77">
        <v>17697</v>
      </c>
      <c r="O36" s="78">
        <f t="shared" si="0"/>
        <v>95740.77</v>
      </c>
      <c r="P36" s="79">
        <v>12</v>
      </c>
      <c r="Q36" s="74"/>
      <c r="R36" s="74"/>
      <c r="S36" s="114"/>
      <c r="T36" s="81"/>
      <c r="U36" s="114"/>
      <c r="V36" s="78">
        <f t="shared" si="6"/>
        <v>63827.180000000008</v>
      </c>
      <c r="W36" s="78">
        <f t="shared" si="7"/>
        <v>0</v>
      </c>
      <c r="X36" s="78">
        <f t="shared" si="8"/>
        <v>0</v>
      </c>
      <c r="Y36" s="79"/>
      <c r="Z36" s="79"/>
      <c r="AA36" s="79"/>
      <c r="AB36" s="78">
        <f t="shared" si="9"/>
        <v>63827.180000000008</v>
      </c>
      <c r="AC36" s="78">
        <f t="shared" si="10"/>
        <v>31913.590000000004</v>
      </c>
      <c r="AD36" s="78">
        <f t="shared" si="11"/>
        <v>23935.192500000005</v>
      </c>
      <c r="AE36" s="78">
        <f t="shared" si="12"/>
        <v>11967.596250000002</v>
      </c>
      <c r="AF36" s="78">
        <f t="shared" si="13"/>
        <v>131643.55875000003</v>
      </c>
      <c r="AG36" s="120"/>
      <c r="AH36" s="130">
        <v>6</v>
      </c>
      <c r="AI36" s="125">
        <f t="shared" si="22"/>
        <v>2359.6</v>
      </c>
      <c r="AJ36" s="125"/>
      <c r="AK36" s="125"/>
      <c r="AL36" s="125">
        <f t="shared" si="14"/>
        <v>6</v>
      </c>
      <c r="AM36" s="125">
        <f t="shared" si="15"/>
        <v>2359.6</v>
      </c>
      <c r="AN36" s="125"/>
      <c r="AO36" s="125">
        <f t="shared" si="21"/>
        <v>0</v>
      </c>
      <c r="AP36" s="125"/>
      <c r="AQ36" s="125">
        <f t="shared" si="23"/>
        <v>0</v>
      </c>
      <c r="AR36" s="131">
        <f t="shared" si="16"/>
        <v>0</v>
      </c>
      <c r="AS36" s="125">
        <f t="shared" si="16"/>
        <v>0</v>
      </c>
      <c r="AT36" s="125">
        <f t="shared" si="17"/>
        <v>6</v>
      </c>
      <c r="AU36" s="125">
        <f t="shared" si="17"/>
        <v>2359.6</v>
      </c>
      <c r="AV36" s="126"/>
      <c r="AW36" s="126"/>
      <c r="AX36" s="130"/>
      <c r="AY36" s="126"/>
      <c r="AZ36" s="125"/>
      <c r="BA36" s="129"/>
      <c r="BB36" s="129"/>
      <c r="BC36" s="126">
        <v>14</v>
      </c>
      <c r="BD36" s="125">
        <f>(AB36+AC36+AD36+AB51+AC51+AD51)*30%</f>
        <v>41886.586875000015</v>
      </c>
      <c r="BE36" s="125"/>
      <c r="BF36" s="125"/>
      <c r="BG36" s="125"/>
      <c r="BH36" s="125">
        <f>7079/18*2</f>
        <v>786.55555555555554</v>
      </c>
      <c r="BI36" s="125"/>
      <c r="BJ36" s="125"/>
      <c r="BK36" s="120">
        <f t="shared" si="27"/>
        <v>45032.742430555569</v>
      </c>
      <c r="BL36" s="120">
        <f t="shared" si="4"/>
        <v>176676.3011805556</v>
      </c>
      <c r="BM36" s="120">
        <f t="shared" si="5"/>
        <v>109702.96562500001</v>
      </c>
      <c r="BN36" s="120">
        <f t="shared" si="19"/>
        <v>66973.33555555559</v>
      </c>
      <c r="BO36" s="120">
        <f t="shared" si="20"/>
        <v>2120115.6141666672</v>
      </c>
    </row>
    <row r="37" spans="2:67" ht="15.75" customHeight="1" x14ac:dyDescent="0.25">
      <c r="B37" s="138" t="s">
        <v>230</v>
      </c>
      <c r="C37" s="74" t="s">
        <v>142</v>
      </c>
      <c r="D37" s="72" t="s">
        <v>219</v>
      </c>
      <c r="E37" s="72" t="s">
        <v>79</v>
      </c>
      <c r="F37" s="74">
        <v>54</v>
      </c>
      <c r="G37" s="75">
        <v>43453</v>
      </c>
      <c r="H37" s="75">
        <v>45279</v>
      </c>
      <c r="I37" s="72" t="s">
        <v>143</v>
      </c>
      <c r="J37" s="72" t="s">
        <v>156</v>
      </c>
      <c r="K37" s="74" t="s">
        <v>81</v>
      </c>
      <c r="L37" s="109">
        <v>8.0500000000000007</v>
      </c>
      <c r="M37" s="76">
        <v>4.79</v>
      </c>
      <c r="N37" s="77">
        <v>17697</v>
      </c>
      <c r="O37" s="78">
        <f t="shared" si="0"/>
        <v>84768.63</v>
      </c>
      <c r="P37" s="79"/>
      <c r="Q37" s="74"/>
      <c r="R37" s="74"/>
      <c r="S37" s="114"/>
      <c r="T37" s="81"/>
      <c r="U37" s="114"/>
      <c r="V37" s="78"/>
      <c r="W37" s="78"/>
      <c r="X37" s="78">
        <f t="shared" si="8"/>
        <v>0</v>
      </c>
      <c r="Y37" s="79"/>
      <c r="Z37" s="79"/>
      <c r="AA37" s="79"/>
      <c r="AB37" s="78">
        <f t="shared" si="9"/>
        <v>0</v>
      </c>
      <c r="AC37" s="78">
        <f t="shared" si="10"/>
        <v>0</v>
      </c>
      <c r="AD37" s="78">
        <f t="shared" si="11"/>
        <v>0</v>
      </c>
      <c r="AE37" s="78">
        <f t="shared" si="12"/>
        <v>0</v>
      </c>
      <c r="AF37" s="78">
        <f t="shared" si="13"/>
        <v>0</v>
      </c>
      <c r="AG37" s="120"/>
      <c r="AH37" s="130"/>
      <c r="AI37" s="125"/>
      <c r="AJ37" s="125"/>
      <c r="AK37" s="125"/>
      <c r="AL37" s="125"/>
      <c r="AM37" s="125"/>
      <c r="AN37" s="125"/>
      <c r="AO37" s="125">
        <f>N37/18*AN37*50%</f>
        <v>0</v>
      </c>
      <c r="AP37" s="125"/>
      <c r="AQ37" s="125"/>
      <c r="AR37" s="131"/>
      <c r="AS37" s="125">
        <f t="shared" si="16"/>
        <v>0</v>
      </c>
      <c r="AT37" s="125">
        <f>AR37</f>
        <v>0</v>
      </c>
      <c r="AU37" s="125">
        <f t="shared" si="17"/>
        <v>0</v>
      </c>
      <c r="AV37" s="126">
        <v>0</v>
      </c>
      <c r="AW37" s="133"/>
      <c r="AX37" s="130"/>
      <c r="AY37" s="126"/>
      <c r="AZ37" s="125"/>
      <c r="BA37" s="129"/>
      <c r="BB37" s="129"/>
      <c r="BC37" s="126"/>
      <c r="BD37" s="125">
        <f t="shared" si="25"/>
        <v>0</v>
      </c>
      <c r="BE37" s="125"/>
      <c r="BF37" s="125"/>
      <c r="BG37" s="125"/>
      <c r="BH37" s="125"/>
      <c r="BI37" s="125"/>
      <c r="BJ37" s="125"/>
      <c r="BK37" s="120">
        <f t="shared" si="27"/>
        <v>0</v>
      </c>
      <c r="BL37" s="120">
        <f t="shared" si="4"/>
        <v>0</v>
      </c>
      <c r="BM37" s="120">
        <f t="shared" si="5"/>
        <v>0</v>
      </c>
      <c r="BN37" s="120">
        <f t="shared" si="19"/>
        <v>0</v>
      </c>
      <c r="BO37" s="120">
        <f t="shared" si="20"/>
        <v>0</v>
      </c>
    </row>
    <row r="38" spans="2:67" ht="15.75" customHeight="1" x14ac:dyDescent="0.25">
      <c r="B38" s="138" t="s">
        <v>230</v>
      </c>
      <c r="C38" s="74" t="s">
        <v>142</v>
      </c>
      <c r="D38" s="72" t="s">
        <v>219</v>
      </c>
      <c r="E38" s="72" t="s">
        <v>79</v>
      </c>
      <c r="F38" s="74">
        <v>54</v>
      </c>
      <c r="G38" s="75">
        <v>43453</v>
      </c>
      <c r="H38" s="75">
        <v>45279</v>
      </c>
      <c r="I38" s="72" t="s">
        <v>143</v>
      </c>
      <c r="J38" s="72" t="s">
        <v>156</v>
      </c>
      <c r="K38" s="74" t="s">
        <v>81</v>
      </c>
      <c r="L38" s="109">
        <v>8.0500000000000007</v>
      </c>
      <c r="M38" s="76">
        <v>4.79</v>
      </c>
      <c r="N38" s="77">
        <v>17697</v>
      </c>
      <c r="O38" s="78">
        <f t="shared" si="0"/>
        <v>84768.63</v>
      </c>
      <c r="P38" s="74"/>
      <c r="Q38" s="122"/>
      <c r="R38" s="122"/>
      <c r="S38" s="114"/>
      <c r="T38" s="114"/>
      <c r="U38" s="114"/>
      <c r="V38" s="78">
        <f t="shared" si="6"/>
        <v>0</v>
      </c>
      <c r="W38" s="78">
        <f t="shared" si="7"/>
        <v>0</v>
      </c>
      <c r="X38" s="78">
        <f t="shared" si="8"/>
        <v>0</v>
      </c>
      <c r="Y38" s="79"/>
      <c r="Z38" s="79"/>
      <c r="AA38" s="79"/>
      <c r="AB38" s="78">
        <f t="shared" si="9"/>
        <v>0</v>
      </c>
      <c r="AC38" s="78">
        <f t="shared" si="10"/>
        <v>0</v>
      </c>
      <c r="AD38" s="78">
        <f t="shared" si="11"/>
        <v>0</v>
      </c>
      <c r="AE38" s="78">
        <f t="shared" si="12"/>
        <v>0</v>
      </c>
      <c r="AF38" s="78">
        <f t="shared" si="13"/>
        <v>0</v>
      </c>
      <c r="AG38" s="120"/>
      <c r="AH38" s="125"/>
      <c r="AI38" s="125">
        <f t="shared" si="22"/>
        <v>0</v>
      </c>
      <c r="AJ38" s="125"/>
      <c r="AK38" s="125">
        <f t="shared" si="26"/>
        <v>0</v>
      </c>
      <c r="AL38" s="125">
        <f t="shared" si="14"/>
        <v>0</v>
      </c>
      <c r="AM38" s="125">
        <f t="shared" si="15"/>
        <v>0</v>
      </c>
      <c r="AN38" s="130"/>
      <c r="AO38" s="125">
        <f>N38/18*AN38*50%</f>
        <v>0</v>
      </c>
      <c r="AP38" s="125"/>
      <c r="AQ38" s="125">
        <f t="shared" si="23"/>
        <v>0</v>
      </c>
      <c r="AR38" s="131">
        <f t="shared" si="16"/>
        <v>0</v>
      </c>
      <c r="AS38" s="125">
        <f t="shared" si="16"/>
        <v>0</v>
      </c>
      <c r="AT38" s="131">
        <f t="shared" si="17"/>
        <v>0</v>
      </c>
      <c r="AU38" s="125">
        <f t="shared" si="17"/>
        <v>0</v>
      </c>
      <c r="AV38" s="126"/>
      <c r="AW38" s="133"/>
      <c r="AX38" s="130"/>
      <c r="AY38" s="126"/>
      <c r="AZ38" s="125"/>
      <c r="BA38" s="129"/>
      <c r="BB38" s="129"/>
      <c r="BC38" s="126"/>
      <c r="BD38" s="125">
        <f t="shared" si="25"/>
        <v>0</v>
      </c>
      <c r="BE38" s="125"/>
      <c r="BF38" s="125"/>
      <c r="BG38" s="125"/>
      <c r="BH38" s="125"/>
      <c r="BI38" s="125"/>
      <c r="BJ38" s="125"/>
      <c r="BK38" s="120">
        <f t="shared" si="27"/>
        <v>0</v>
      </c>
      <c r="BL38" s="120">
        <f t="shared" si="4"/>
        <v>0</v>
      </c>
      <c r="BM38" s="120">
        <f t="shared" si="5"/>
        <v>0</v>
      </c>
      <c r="BN38" s="120">
        <f t="shared" si="19"/>
        <v>0</v>
      </c>
      <c r="BO38" s="120">
        <f t="shared" si="20"/>
        <v>0</v>
      </c>
    </row>
    <row r="39" spans="2:67" ht="15.75" customHeight="1" x14ac:dyDescent="0.25">
      <c r="B39" s="72" t="s">
        <v>197</v>
      </c>
      <c r="C39" s="74" t="s">
        <v>198</v>
      </c>
      <c r="D39" s="72" t="s">
        <v>199</v>
      </c>
      <c r="E39" s="72" t="s">
        <v>79</v>
      </c>
      <c r="F39" s="74">
        <v>14</v>
      </c>
      <c r="G39" s="75">
        <v>42823</v>
      </c>
      <c r="H39" s="75">
        <v>44740</v>
      </c>
      <c r="I39" s="72" t="s">
        <v>101</v>
      </c>
      <c r="J39" s="72" t="s">
        <v>156</v>
      </c>
      <c r="K39" s="74" t="s">
        <v>157</v>
      </c>
      <c r="L39" s="76">
        <v>9.01</v>
      </c>
      <c r="M39" s="76">
        <v>4.33</v>
      </c>
      <c r="N39" s="77">
        <v>17697</v>
      </c>
      <c r="O39" s="78">
        <f t="shared" si="0"/>
        <v>76628.009999999995</v>
      </c>
      <c r="P39" s="74">
        <v>17</v>
      </c>
      <c r="Q39" s="74"/>
      <c r="R39" s="74"/>
      <c r="S39" s="114"/>
      <c r="T39" s="114"/>
      <c r="U39" s="114"/>
      <c r="V39" s="78">
        <f t="shared" si="6"/>
        <v>72370.898333333331</v>
      </c>
      <c r="W39" s="78">
        <f t="shared" si="7"/>
        <v>0</v>
      </c>
      <c r="X39" s="78">
        <f t="shared" si="8"/>
        <v>0</v>
      </c>
      <c r="Y39" s="78"/>
      <c r="Z39" s="78"/>
      <c r="AA39" s="78"/>
      <c r="AB39" s="78">
        <f t="shared" si="9"/>
        <v>72370.898333333331</v>
      </c>
      <c r="AC39" s="78">
        <f t="shared" si="10"/>
        <v>36185.449166666665</v>
      </c>
      <c r="AD39" s="78">
        <f t="shared" si="11"/>
        <v>27139.086875000001</v>
      </c>
      <c r="AE39" s="78">
        <f t="shared" si="12"/>
        <v>13569.543437500002</v>
      </c>
      <c r="AF39" s="78">
        <f t="shared" si="13"/>
        <v>149264.9778125</v>
      </c>
      <c r="AG39" s="125"/>
      <c r="AH39" s="131">
        <v>8.5</v>
      </c>
      <c r="AI39" s="125">
        <f t="shared" si="22"/>
        <v>3342.7666666666664</v>
      </c>
      <c r="AJ39" s="125"/>
      <c r="AK39" s="125"/>
      <c r="AL39" s="131">
        <f t="shared" si="14"/>
        <v>8.5</v>
      </c>
      <c r="AM39" s="125">
        <f t="shared" si="15"/>
        <v>3342.7666666666664</v>
      </c>
      <c r="AN39" s="125"/>
      <c r="AO39" s="125">
        <f t="shared" si="21"/>
        <v>0</v>
      </c>
      <c r="AP39" s="125"/>
      <c r="AQ39" s="125">
        <f t="shared" si="23"/>
        <v>0</v>
      </c>
      <c r="AR39" s="131">
        <f t="shared" si="16"/>
        <v>0</v>
      </c>
      <c r="AS39" s="125">
        <f t="shared" si="16"/>
        <v>0</v>
      </c>
      <c r="AT39" s="131">
        <f t="shared" si="17"/>
        <v>8.5</v>
      </c>
      <c r="AU39" s="125">
        <f t="shared" si="17"/>
        <v>3342.7666666666664</v>
      </c>
      <c r="AV39" s="126">
        <v>4</v>
      </c>
      <c r="AW39" s="126">
        <v>1</v>
      </c>
      <c r="AX39" s="130"/>
      <c r="AY39" s="126"/>
      <c r="AZ39" s="125">
        <f>N38*50%</f>
        <v>8848.5</v>
      </c>
      <c r="BA39" s="126"/>
      <c r="BB39" s="129"/>
      <c r="BC39" s="126">
        <v>19</v>
      </c>
      <c r="BD39" s="125">
        <f>(AB39+AC39+AD39+AB68+AC68+AD68+AB69+AC69+AD69)*30%</f>
        <v>45497.880937500006</v>
      </c>
      <c r="BE39" s="126"/>
      <c r="BF39" s="126"/>
      <c r="BG39" s="125"/>
      <c r="BH39" s="125"/>
      <c r="BI39" s="126"/>
      <c r="BJ39" s="126"/>
      <c r="BK39" s="120">
        <f t="shared" si="27"/>
        <v>57689.147604166676</v>
      </c>
      <c r="BL39" s="120">
        <f t="shared" si="4"/>
        <v>206954.12541666668</v>
      </c>
      <c r="BM39" s="120">
        <f t="shared" si="5"/>
        <v>122391.96041666667</v>
      </c>
      <c r="BN39" s="120">
        <f t="shared" si="19"/>
        <v>84562.165000000008</v>
      </c>
      <c r="BO39" s="120">
        <f t="shared" si="20"/>
        <v>2483449.5049999999</v>
      </c>
    </row>
    <row r="40" spans="2:67" ht="15.75" customHeight="1" x14ac:dyDescent="0.25">
      <c r="B40" s="72" t="s">
        <v>144</v>
      </c>
      <c r="C40" s="74" t="s">
        <v>145</v>
      </c>
      <c r="D40" s="72" t="s">
        <v>146</v>
      </c>
      <c r="E40" s="72" t="s">
        <v>79</v>
      </c>
      <c r="F40" s="74">
        <v>25</v>
      </c>
      <c r="G40" s="75">
        <v>43831</v>
      </c>
      <c r="H40" s="75">
        <v>45658</v>
      </c>
      <c r="I40" s="87" t="s">
        <v>147</v>
      </c>
      <c r="J40" s="72" t="s">
        <v>106</v>
      </c>
      <c r="K40" s="74" t="s">
        <v>81</v>
      </c>
      <c r="L40" s="76">
        <v>8.0500000000000007</v>
      </c>
      <c r="M40" s="76">
        <v>4.79</v>
      </c>
      <c r="N40" s="77">
        <v>17697</v>
      </c>
      <c r="O40" s="78">
        <f t="shared" si="0"/>
        <v>84768.63</v>
      </c>
      <c r="P40" s="74">
        <v>4</v>
      </c>
      <c r="Q40" s="74">
        <v>4</v>
      </c>
      <c r="R40" s="74">
        <v>2</v>
      </c>
      <c r="S40" s="114"/>
      <c r="T40" s="114"/>
      <c r="U40" s="114"/>
      <c r="V40" s="78">
        <f t="shared" si="6"/>
        <v>18837.473333333335</v>
      </c>
      <c r="W40" s="78">
        <f t="shared" si="7"/>
        <v>18837.473333333335</v>
      </c>
      <c r="X40" s="78">
        <f t="shared" si="8"/>
        <v>9418.7366666666676</v>
      </c>
      <c r="Y40" s="79"/>
      <c r="Z40" s="79"/>
      <c r="AA40" s="79"/>
      <c r="AB40" s="78">
        <f t="shared" si="9"/>
        <v>47093.683333333334</v>
      </c>
      <c r="AC40" s="78">
        <f t="shared" si="10"/>
        <v>23546.841666666667</v>
      </c>
      <c r="AD40" s="78">
        <f t="shared" si="11"/>
        <v>17660.131249999999</v>
      </c>
      <c r="AE40" s="78">
        <f t="shared" si="12"/>
        <v>8830.0656250000011</v>
      </c>
      <c r="AF40" s="78">
        <f t="shared" si="13"/>
        <v>97130.721875000003</v>
      </c>
      <c r="AG40" s="120"/>
      <c r="AH40" s="125"/>
      <c r="AI40" s="125">
        <f t="shared" si="22"/>
        <v>0</v>
      </c>
      <c r="AJ40" s="125"/>
      <c r="AK40" s="125">
        <f t="shared" si="26"/>
        <v>0.17777777777777778</v>
      </c>
      <c r="AL40" s="125">
        <f t="shared" si="14"/>
        <v>0</v>
      </c>
      <c r="AM40" s="125">
        <f t="shared" si="15"/>
        <v>0.17777777777777778</v>
      </c>
      <c r="AN40" s="125"/>
      <c r="AO40" s="125">
        <f t="shared" si="21"/>
        <v>0</v>
      </c>
      <c r="AP40" s="125"/>
      <c r="AQ40" s="125">
        <f t="shared" si="23"/>
        <v>0</v>
      </c>
      <c r="AR40" s="131">
        <f t="shared" si="16"/>
        <v>0</v>
      </c>
      <c r="AS40" s="125">
        <f t="shared" si="16"/>
        <v>0</v>
      </c>
      <c r="AT40" s="125">
        <f t="shared" si="17"/>
        <v>0</v>
      </c>
      <c r="AU40" s="125">
        <f t="shared" si="17"/>
        <v>0.17777777777777778</v>
      </c>
      <c r="AV40" s="126">
        <v>8</v>
      </c>
      <c r="AW40" s="126"/>
      <c r="AX40" s="130">
        <v>0.5</v>
      </c>
      <c r="AY40" s="126"/>
      <c r="AZ40" s="125">
        <f>N39*60%</f>
        <v>10618.199999999999</v>
      </c>
      <c r="BA40" s="129"/>
      <c r="BB40" s="129"/>
      <c r="BC40" s="126">
        <v>10</v>
      </c>
      <c r="BD40" s="125">
        <f>(AB40+AC40+AD40)*30%</f>
        <v>26490.196874999998</v>
      </c>
      <c r="BE40" s="125"/>
      <c r="BF40" s="125">
        <v>10</v>
      </c>
      <c r="BG40" s="125">
        <f>(AB40+AC40+AD40)*35%</f>
        <v>30905.229687499999</v>
      </c>
      <c r="BH40" s="125">
        <f>7079/18*4</f>
        <v>1573.1111111111111</v>
      </c>
      <c r="BI40" s="126"/>
      <c r="BJ40" s="126"/>
      <c r="BK40" s="120">
        <f t="shared" si="27"/>
        <v>69586.915451388879</v>
      </c>
      <c r="BL40" s="120">
        <f t="shared" si="4"/>
        <v>166717.63732638888</v>
      </c>
      <c r="BM40" s="120">
        <f t="shared" si="5"/>
        <v>76527.235416666663</v>
      </c>
      <c r="BN40" s="120">
        <f t="shared" si="19"/>
        <v>90190.401909722219</v>
      </c>
      <c r="BO40" s="120">
        <f t="shared" si="20"/>
        <v>2000611.6479166667</v>
      </c>
    </row>
    <row r="41" spans="2:67" ht="15.75" customHeight="1" x14ac:dyDescent="0.25">
      <c r="B41" s="72" t="s">
        <v>149</v>
      </c>
      <c r="C41" s="74" t="s">
        <v>112</v>
      </c>
      <c r="D41" s="72" t="s">
        <v>151</v>
      </c>
      <c r="E41" s="72" t="s">
        <v>79</v>
      </c>
      <c r="F41" s="74">
        <v>27</v>
      </c>
      <c r="G41" s="75">
        <v>42119</v>
      </c>
      <c r="H41" s="75">
        <v>43946</v>
      </c>
      <c r="I41" s="72" t="s">
        <v>114</v>
      </c>
      <c r="J41" s="72" t="s">
        <v>235</v>
      </c>
      <c r="K41" s="74" t="s">
        <v>148</v>
      </c>
      <c r="L41" s="76">
        <v>16.010000000000002</v>
      </c>
      <c r="M41" s="76">
        <v>4.99</v>
      </c>
      <c r="N41" s="77">
        <v>17697</v>
      </c>
      <c r="O41" s="78">
        <f>SUM(N41*M41)</f>
        <v>88308.03</v>
      </c>
      <c r="P41" s="74"/>
      <c r="Q41" s="74">
        <v>2.5</v>
      </c>
      <c r="R41" s="74">
        <v>6</v>
      </c>
      <c r="S41" s="114"/>
      <c r="T41" s="114"/>
      <c r="U41" s="114"/>
      <c r="V41" s="78">
        <f t="shared" si="6"/>
        <v>0</v>
      </c>
      <c r="W41" s="78">
        <f t="shared" si="7"/>
        <v>12265.004166666668</v>
      </c>
      <c r="X41" s="78">
        <f t="shared" si="8"/>
        <v>29436.010000000002</v>
      </c>
      <c r="Y41" s="79"/>
      <c r="Z41" s="79"/>
      <c r="AA41" s="79"/>
      <c r="AB41" s="78">
        <f t="shared" si="9"/>
        <v>41701.014166666668</v>
      </c>
      <c r="AC41" s="78">
        <f t="shared" si="10"/>
        <v>20850.507083333334</v>
      </c>
      <c r="AD41" s="78">
        <f t="shared" si="11"/>
        <v>15637.880312500001</v>
      </c>
      <c r="AE41" s="78">
        <f t="shared" si="12"/>
        <v>7818.9401562500007</v>
      </c>
      <c r="AF41" s="78">
        <f t="shared" si="13"/>
        <v>86008.341718750002</v>
      </c>
      <c r="AG41" s="120"/>
      <c r="AH41" s="125"/>
      <c r="AI41" s="125">
        <f t="shared" si="22"/>
        <v>0</v>
      </c>
      <c r="AJ41" s="125"/>
      <c r="AK41" s="125">
        <f t="shared" si="26"/>
        <v>0</v>
      </c>
      <c r="AL41" s="125">
        <f t="shared" si="14"/>
        <v>0</v>
      </c>
      <c r="AM41" s="125">
        <f t="shared" si="15"/>
        <v>0</v>
      </c>
      <c r="AN41" s="125"/>
      <c r="AO41" s="125">
        <f t="shared" si="21"/>
        <v>0</v>
      </c>
      <c r="AP41" s="131" t="s">
        <v>225</v>
      </c>
      <c r="AQ41" s="125">
        <f t="shared" si="23"/>
        <v>1671.3833333333332</v>
      </c>
      <c r="AR41" s="131">
        <f t="shared" si="16"/>
        <v>4.25</v>
      </c>
      <c r="AS41" s="125">
        <f t="shared" si="16"/>
        <v>1671.3833333333332</v>
      </c>
      <c r="AT41" s="125">
        <v>4.25</v>
      </c>
      <c r="AU41" s="125">
        <f t="shared" si="17"/>
        <v>1671.3833333333332</v>
      </c>
      <c r="AV41" s="126"/>
      <c r="AW41" s="126"/>
      <c r="AX41" s="130"/>
      <c r="AY41" s="126"/>
      <c r="AZ41" s="125"/>
      <c r="BA41" s="129"/>
      <c r="BB41" s="129"/>
      <c r="BC41" s="126">
        <v>9.5</v>
      </c>
      <c r="BD41" s="125">
        <f>(AB41+AC41+AD41+AB63+AC63+AD63)*30%</f>
        <v>26216.446406250001</v>
      </c>
      <c r="BE41" s="125"/>
      <c r="BF41" s="130">
        <v>9.5</v>
      </c>
      <c r="BG41" s="125">
        <f>(AB41+AC41+AD41+AB63+AC63+AD63)*30%</f>
        <v>26216.446406250001</v>
      </c>
      <c r="BH41" s="126"/>
      <c r="BI41" s="126"/>
      <c r="BJ41" s="126"/>
      <c r="BK41" s="120">
        <f t="shared" si="27"/>
        <v>54104.276145833341</v>
      </c>
      <c r="BL41" s="120">
        <f t="shared" si="4"/>
        <v>140112.61786458333</v>
      </c>
      <c r="BM41" s="120">
        <f t="shared" si="5"/>
        <v>70523.773958333331</v>
      </c>
      <c r="BN41" s="120">
        <f t="shared" si="19"/>
        <v>69588.843906249997</v>
      </c>
      <c r="BO41" s="120">
        <f t="shared" si="20"/>
        <v>1681351.4143749999</v>
      </c>
    </row>
    <row r="42" spans="2:67" ht="15.75" customHeight="1" x14ac:dyDescent="0.25">
      <c r="B42" s="72" t="s">
        <v>149</v>
      </c>
      <c r="C42" s="73" t="s">
        <v>150</v>
      </c>
      <c r="D42" s="72" t="s">
        <v>151</v>
      </c>
      <c r="E42" s="72" t="s">
        <v>79</v>
      </c>
      <c r="F42" s="74">
        <v>33</v>
      </c>
      <c r="G42" s="75">
        <v>42529</v>
      </c>
      <c r="H42" s="75">
        <v>44355</v>
      </c>
      <c r="I42" s="72" t="s">
        <v>152</v>
      </c>
      <c r="J42" s="72" t="s">
        <v>235</v>
      </c>
      <c r="K42" s="74" t="s">
        <v>148</v>
      </c>
      <c r="L42" s="76">
        <v>16.010000000000002</v>
      </c>
      <c r="M42" s="76">
        <v>4.99</v>
      </c>
      <c r="N42" s="77">
        <v>17697</v>
      </c>
      <c r="O42" s="78">
        <f t="shared" si="0"/>
        <v>88308.03</v>
      </c>
      <c r="P42" s="74"/>
      <c r="Q42" s="74">
        <v>6</v>
      </c>
      <c r="R42" s="74">
        <v>4</v>
      </c>
      <c r="S42" s="114"/>
      <c r="T42" s="114"/>
      <c r="U42" s="114"/>
      <c r="V42" s="78">
        <f t="shared" si="6"/>
        <v>0</v>
      </c>
      <c r="W42" s="78">
        <f t="shared" si="7"/>
        <v>29436.010000000002</v>
      </c>
      <c r="X42" s="78">
        <f t="shared" si="8"/>
        <v>19624.006666666668</v>
      </c>
      <c r="Y42" s="79"/>
      <c r="Z42" s="79"/>
      <c r="AA42" s="79"/>
      <c r="AB42" s="78">
        <f t="shared" si="9"/>
        <v>49060.01666666667</v>
      </c>
      <c r="AC42" s="78">
        <f t="shared" si="10"/>
        <v>24530.008333333335</v>
      </c>
      <c r="AD42" s="78">
        <f t="shared" si="11"/>
        <v>18397.506250000002</v>
      </c>
      <c r="AE42" s="78">
        <f t="shared" si="12"/>
        <v>9198.7531250000011</v>
      </c>
      <c r="AF42" s="78">
        <f t="shared" si="13"/>
        <v>101186.28437500002</v>
      </c>
      <c r="AG42" s="120"/>
      <c r="AH42" s="125"/>
      <c r="AI42" s="125">
        <f t="shared" si="22"/>
        <v>0</v>
      </c>
      <c r="AJ42" s="125"/>
      <c r="AK42" s="125">
        <f t="shared" si="26"/>
        <v>0</v>
      </c>
      <c r="AL42" s="125">
        <f t="shared" si="14"/>
        <v>0</v>
      </c>
      <c r="AM42" s="125">
        <f t="shared" si="15"/>
        <v>0</v>
      </c>
      <c r="AN42" s="125"/>
      <c r="AO42" s="125">
        <f t="shared" si="21"/>
        <v>0</v>
      </c>
      <c r="AP42" s="131" t="s">
        <v>226</v>
      </c>
      <c r="AQ42" s="125">
        <f t="shared" si="23"/>
        <v>1966.3333333333333</v>
      </c>
      <c r="AR42" s="131">
        <f t="shared" si="16"/>
        <v>5</v>
      </c>
      <c r="AS42" s="125">
        <f t="shared" si="16"/>
        <v>1966.3333333333333</v>
      </c>
      <c r="AT42" s="125">
        <v>5</v>
      </c>
      <c r="AU42" s="125">
        <f t="shared" si="17"/>
        <v>1966.3333333333333</v>
      </c>
      <c r="AV42" s="126">
        <v>5</v>
      </c>
      <c r="AW42" s="126"/>
      <c r="AX42" s="130">
        <v>1</v>
      </c>
      <c r="AY42" s="126"/>
      <c r="AZ42" s="125">
        <f>N41*60%</f>
        <v>10618.199999999999</v>
      </c>
      <c r="BA42" s="129">
        <v>1</v>
      </c>
      <c r="BB42" s="129">
        <f>N42*20%</f>
        <v>3539.4</v>
      </c>
      <c r="BC42" s="126">
        <v>11</v>
      </c>
      <c r="BD42" s="125">
        <f>(AB42+AC42+AD42+AB66+AC66+AD66)*30%</f>
        <v>30355.885312500002</v>
      </c>
      <c r="BE42" s="125">
        <f>BE26</f>
        <v>17697</v>
      </c>
      <c r="BF42" s="125">
        <v>11</v>
      </c>
      <c r="BG42" s="125">
        <f>(AB42+AC42+AD42+AB66+AC66+AD66)*30%</f>
        <v>30355.885312500002</v>
      </c>
      <c r="BH42" s="126"/>
      <c r="BI42" s="126"/>
      <c r="BJ42" s="126"/>
      <c r="BK42" s="120">
        <f t="shared" si="27"/>
        <v>94532.703958333339</v>
      </c>
      <c r="BL42" s="120">
        <f t="shared" si="4"/>
        <v>195718.98833333334</v>
      </c>
      <c r="BM42" s="120">
        <f t="shared" si="5"/>
        <v>100179.15302083334</v>
      </c>
      <c r="BN42" s="120">
        <f t="shared" si="19"/>
        <v>95539.835312499999</v>
      </c>
      <c r="BO42" s="120">
        <f t="shared" si="20"/>
        <v>2348627.8600000003</v>
      </c>
    </row>
    <row r="43" spans="2:67" ht="15.75" customHeight="1" x14ac:dyDescent="0.25">
      <c r="B43" s="140" t="s">
        <v>240</v>
      </c>
      <c r="C43" s="74" t="s">
        <v>158</v>
      </c>
      <c r="D43" s="72" t="s">
        <v>236</v>
      </c>
      <c r="E43" s="72" t="s">
        <v>79</v>
      </c>
      <c r="F43" s="74"/>
      <c r="G43" s="72"/>
      <c r="H43" s="72"/>
      <c r="I43" s="72" t="s">
        <v>159</v>
      </c>
      <c r="J43" s="72" t="s">
        <v>156</v>
      </c>
      <c r="K43" s="74" t="s">
        <v>157</v>
      </c>
      <c r="L43" s="76">
        <v>13.04</v>
      </c>
      <c r="M43" s="82">
        <v>4.49</v>
      </c>
      <c r="N43" s="77">
        <v>17697</v>
      </c>
      <c r="O43" s="78">
        <f t="shared" si="0"/>
        <v>79459.53</v>
      </c>
      <c r="P43" s="74"/>
      <c r="Q43" s="139">
        <v>5</v>
      </c>
      <c r="R43" s="74"/>
      <c r="S43" s="114"/>
      <c r="T43" s="115"/>
      <c r="U43" s="114"/>
      <c r="V43" s="78">
        <f t="shared" si="6"/>
        <v>0</v>
      </c>
      <c r="W43" s="78">
        <f t="shared" si="7"/>
        <v>22072.091666666667</v>
      </c>
      <c r="X43" s="78">
        <f t="shared" si="8"/>
        <v>0</v>
      </c>
      <c r="Y43" s="79"/>
      <c r="Z43" s="79"/>
      <c r="AA43" s="79"/>
      <c r="AB43" s="78">
        <f t="shared" si="9"/>
        <v>22072.091666666667</v>
      </c>
      <c r="AC43" s="78">
        <f t="shared" si="10"/>
        <v>11036.045833333334</v>
      </c>
      <c r="AD43" s="78">
        <f t="shared" si="11"/>
        <v>8277.0343749999993</v>
      </c>
      <c r="AE43" s="78">
        <f t="shared" si="12"/>
        <v>4138.5171875000005</v>
      </c>
      <c r="AF43" s="78">
        <f t="shared" si="13"/>
        <v>45523.689062500001</v>
      </c>
      <c r="AG43" s="120"/>
      <c r="AH43" s="125"/>
      <c r="AI43" s="125">
        <f t="shared" si="22"/>
        <v>0</v>
      </c>
      <c r="AJ43" s="125"/>
      <c r="AK43" s="125">
        <f t="shared" si="26"/>
        <v>0</v>
      </c>
      <c r="AL43" s="125">
        <f t="shared" si="14"/>
        <v>0</v>
      </c>
      <c r="AM43" s="125">
        <f t="shared" si="15"/>
        <v>0</v>
      </c>
      <c r="AN43" s="125"/>
      <c r="AO43" s="125">
        <f t="shared" si="21"/>
        <v>0</v>
      </c>
      <c r="AP43" s="125"/>
      <c r="AQ43" s="125">
        <f t="shared" si="23"/>
        <v>0</v>
      </c>
      <c r="AR43" s="131">
        <f t="shared" si="16"/>
        <v>0</v>
      </c>
      <c r="AS43" s="125">
        <f t="shared" si="16"/>
        <v>0</v>
      </c>
      <c r="AT43" s="125">
        <f t="shared" si="17"/>
        <v>0</v>
      </c>
      <c r="AU43" s="125">
        <f t="shared" si="17"/>
        <v>0</v>
      </c>
      <c r="AV43" s="126">
        <v>6</v>
      </c>
      <c r="AW43" s="126"/>
      <c r="AX43" s="130">
        <v>0.5</v>
      </c>
      <c r="AY43" s="126"/>
      <c r="AZ43" s="125">
        <f>N42*60%</f>
        <v>10618.199999999999</v>
      </c>
      <c r="BA43" s="129"/>
      <c r="BB43" s="129"/>
      <c r="BC43" s="126">
        <v>5</v>
      </c>
      <c r="BD43" s="125">
        <f t="shared" si="25"/>
        <v>12415.551562499999</v>
      </c>
      <c r="BE43" s="125"/>
      <c r="BF43" s="125"/>
      <c r="BG43" s="126"/>
      <c r="BH43" s="126"/>
      <c r="BI43" s="126"/>
      <c r="BJ43" s="126"/>
      <c r="BK43" s="120">
        <f t="shared" si="27"/>
        <v>23033.751562499998</v>
      </c>
      <c r="BL43" s="120">
        <f t="shared" si="4"/>
        <v>68557.440625000003</v>
      </c>
      <c r="BM43" s="120">
        <f t="shared" si="5"/>
        <v>35867.148958333331</v>
      </c>
      <c r="BN43" s="120">
        <f t="shared" si="19"/>
        <v>32690.291666666672</v>
      </c>
      <c r="BO43" s="120">
        <f t="shared" si="20"/>
        <v>822689.28750000009</v>
      </c>
    </row>
    <row r="44" spans="2:67" ht="15.75" customHeight="1" x14ac:dyDescent="0.25">
      <c r="B44" s="72" t="s">
        <v>161</v>
      </c>
      <c r="C44" s="74" t="s">
        <v>162</v>
      </c>
      <c r="D44" s="72" t="s">
        <v>163</v>
      </c>
      <c r="E44" s="72" t="s">
        <v>118</v>
      </c>
      <c r="F44" s="74">
        <v>28</v>
      </c>
      <c r="G44" s="72"/>
      <c r="H44" s="72"/>
      <c r="I44" s="72" t="s">
        <v>162</v>
      </c>
      <c r="J44" s="72" t="s">
        <v>156</v>
      </c>
      <c r="K44" s="74" t="s">
        <v>160</v>
      </c>
      <c r="L44" s="76">
        <v>14.1</v>
      </c>
      <c r="M44" s="82">
        <v>3.61</v>
      </c>
      <c r="N44" s="77">
        <v>17697</v>
      </c>
      <c r="O44" s="78">
        <f t="shared" si="0"/>
        <v>63886.17</v>
      </c>
      <c r="P44" s="74"/>
      <c r="Q44" s="139">
        <v>1</v>
      </c>
      <c r="R44" s="74"/>
      <c r="S44" s="114"/>
      <c r="T44" s="115"/>
      <c r="U44" s="114"/>
      <c r="V44" s="78">
        <f t="shared" si="6"/>
        <v>0</v>
      </c>
      <c r="W44" s="78">
        <f t="shared" si="7"/>
        <v>3549.2316666666666</v>
      </c>
      <c r="X44" s="78">
        <f t="shared" si="8"/>
        <v>0</v>
      </c>
      <c r="Y44" s="79"/>
      <c r="Z44" s="79"/>
      <c r="AA44" s="79"/>
      <c r="AB44" s="78">
        <f t="shared" si="9"/>
        <v>3549.2316666666666</v>
      </c>
      <c r="AC44" s="78">
        <f t="shared" si="10"/>
        <v>1774.6158333333333</v>
      </c>
      <c r="AD44" s="78">
        <f t="shared" si="11"/>
        <v>1330.961875</v>
      </c>
      <c r="AE44" s="78">
        <f t="shared" si="12"/>
        <v>665.48093749999998</v>
      </c>
      <c r="AF44" s="78">
        <f t="shared" si="13"/>
        <v>7320.2903124999993</v>
      </c>
      <c r="AG44" s="120"/>
      <c r="AH44" s="125"/>
      <c r="AI44" s="125">
        <f t="shared" si="22"/>
        <v>0</v>
      </c>
      <c r="AJ44" s="125"/>
      <c r="AK44" s="125">
        <f t="shared" si="26"/>
        <v>0</v>
      </c>
      <c r="AL44" s="125">
        <f t="shared" si="14"/>
        <v>0</v>
      </c>
      <c r="AM44" s="125">
        <f t="shared" si="15"/>
        <v>0</v>
      </c>
      <c r="AN44" s="125"/>
      <c r="AO44" s="125">
        <f t="shared" si="21"/>
        <v>0</v>
      </c>
      <c r="AP44" s="125"/>
      <c r="AQ44" s="125">
        <f t="shared" si="23"/>
        <v>0</v>
      </c>
      <c r="AR44" s="131">
        <f t="shared" si="16"/>
        <v>0</v>
      </c>
      <c r="AS44" s="125">
        <f t="shared" si="16"/>
        <v>0</v>
      </c>
      <c r="AT44" s="125">
        <f t="shared" si="17"/>
        <v>0</v>
      </c>
      <c r="AU44" s="125">
        <f t="shared" si="17"/>
        <v>0</v>
      </c>
      <c r="AV44" s="126"/>
      <c r="AW44" s="126"/>
      <c r="AX44" s="126"/>
      <c r="AY44" s="126"/>
      <c r="AZ44" s="125"/>
      <c r="BA44" s="129"/>
      <c r="BB44" s="129"/>
      <c r="BC44" s="126">
        <v>1</v>
      </c>
      <c r="BD44" s="125">
        <f t="shared" si="25"/>
        <v>1996.4428124999999</v>
      </c>
      <c r="BE44" s="125"/>
      <c r="BF44" s="125"/>
      <c r="BG44" s="126"/>
      <c r="BH44" s="126"/>
      <c r="BI44" s="126"/>
      <c r="BJ44" s="126"/>
      <c r="BK44" s="120">
        <f t="shared" si="27"/>
        <v>1996.4428124999999</v>
      </c>
      <c r="BL44" s="120">
        <f t="shared" si="4"/>
        <v>9316.7331249999988</v>
      </c>
      <c r="BM44" s="120">
        <f t="shared" si="5"/>
        <v>5767.5014583333332</v>
      </c>
      <c r="BN44" s="120">
        <f t="shared" si="19"/>
        <v>3549.2316666666657</v>
      </c>
      <c r="BO44" s="120">
        <f t="shared" si="20"/>
        <v>111800.79749999999</v>
      </c>
    </row>
    <row r="45" spans="2:67" ht="15.75" customHeight="1" x14ac:dyDescent="0.25">
      <c r="B45" s="89" t="s">
        <v>164</v>
      </c>
      <c r="C45" s="74"/>
      <c r="D45" s="72"/>
      <c r="E45" s="74"/>
      <c r="F45" s="74"/>
      <c r="G45" s="74"/>
      <c r="H45" s="74"/>
      <c r="I45" s="74"/>
      <c r="J45" s="74"/>
      <c r="K45" s="74"/>
      <c r="L45" s="90"/>
      <c r="M45" s="91"/>
      <c r="N45" s="92"/>
      <c r="O45" s="78">
        <f t="shared" si="0"/>
        <v>0</v>
      </c>
      <c r="P45" s="94">
        <f>SUM(P16:P44)</f>
        <v>97</v>
      </c>
      <c r="Q45" s="93">
        <f>SUM(Q16:Q44)</f>
        <v>133</v>
      </c>
      <c r="R45" s="94">
        <f t="shared" ref="R45:BM45" si="28">SUM(R16:R44)</f>
        <v>62</v>
      </c>
      <c r="S45" s="94">
        <f t="shared" si="28"/>
        <v>0</v>
      </c>
      <c r="T45" s="94">
        <f t="shared" si="28"/>
        <v>0</v>
      </c>
      <c r="U45" s="94">
        <f t="shared" si="28"/>
        <v>0</v>
      </c>
      <c r="V45" s="123">
        <f t="shared" si="28"/>
        <v>482911.80333333334</v>
      </c>
      <c r="W45" s="123">
        <f t="shared" si="28"/>
        <v>666621.41083333339</v>
      </c>
      <c r="X45" s="123">
        <f t="shared" si="28"/>
        <v>301694.52333333332</v>
      </c>
      <c r="Y45" s="123">
        <f t="shared" si="28"/>
        <v>0</v>
      </c>
      <c r="Z45" s="123">
        <f t="shared" si="28"/>
        <v>0</v>
      </c>
      <c r="AA45" s="123">
        <f t="shared" si="28"/>
        <v>0</v>
      </c>
      <c r="AB45" s="123">
        <f t="shared" si="28"/>
        <v>1451227.7374999996</v>
      </c>
      <c r="AC45" s="123">
        <f t="shared" si="28"/>
        <v>725613.86874999979</v>
      </c>
      <c r="AD45" s="123">
        <f t="shared" si="28"/>
        <v>544210.40156250005</v>
      </c>
      <c r="AE45" s="123">
        <f t="shared" si="28"/>
        <v>272105.20078125002</v>
      </c>
      <c r="AF45" s="123">
        <f t="shared" si="28"/>
        <v>2993157.2085937499</v>
      </c>
      <c r="AG45" s="123">
        <f t="shared" si="28"/>
        <v>0</v>
      </c>
      <c r="AH45" s="123">
        <f t="shared" si="28"/>
        <v>42.5</v>
      </c>
      <c r="AI45" s="123">
        <v>16714</v>
      </c>
      <c r="AJ45" s="123">
        <f t="shared" si="28"/>
        <v>4</v>
      </c>
      <c r="AK45" s="123">
        <f t="shared" si="28"/>
        <v>1966.5111111111109</v>
      </c>
      <c r="AL45" s="123">
        <f t="shared" si="28"/>
        <v>46.677777777777777</v>
      </c>
      <c r="AM45" s="123">
        <v>18680</v>
      </c>
      <c r="AN45" s="123">
        <f t="shared" si="28"/>
        <v>14.5</v>
      </c>
      <c r="AO45" s="123">
        <f t="shared" si="28"/>
        <v>7127.9583333333339</v>
      </c>
      <c r="AP45" s="123">
        <f t="shared" si="28"/>
        <v>14</v>
      </c>
      <c r="AQ45" s="123">
        <f t="shared" si="28"/>
        <v>15534.033333333333</v>
      </c>
      <c r="AR45" s="123">
        <f t="shared" si="28"/>
        <v>52.5</v>
      </c>
      <c r="AS45" s="123">
        <f t="shared" si="28"/>
        <v>22661.991666666665</v>
      </c>
      <c r="AT45" s="123">
        <f t="shared" si="28"/>
        <v>99.177777777777777</v>
      </c>
      <c r="AU45" s="123">
        <v>44538</v>
      </c>
      <c r="AV45" s="134">
        <v>74</v>
      </c>
      <c r="AW45" s="134">
        <v>5</v>
      </c>
      <c r="AX45" s="134">
        <v>4</v>
      </c>
      <c r="AY45" s="134">
        <v>2</v>
      </c>
      <c r="AZ45" s="119">
        <f>SUM(AZ16:AZ44)</f>
        <v>109721.39999999998</v>
      </c>
      <c r="BA45" s="123">
        <f t="shared" si="28"/>
        <v>3</v>
      </c>
      <c r="BB45" s="123">
        <f t="shared" si="28"/>
        <v>10618.2</v>
      </c>
      <c r="BC45" s="123">
        <f t="shared" si="28"/>
        <v>326</v>
      </c>
      <c r="BD45" s="123">
        <f t="shared" si="28"/>
        <v>914091.52734375</v>
      </c>
      <c r="BE45" s="123">
        <f t="shared" si="28"/>
        <v>53091</v>
      </c>
      <c r="BF45" s="123">
        <f t="shared" si="28"/>
        <v>164.5</v>
      </c>
      <c r="BG45" s="123">
        <f t="shared" si="28"/>
        <v>938601.87234374997</v>
      </c>
      <c r="BH45" s="123">
        <f t="shared" si="28"/>
        <v>12978.166666666666</v>
      </c>
      <c r="BI45" s="123">
        <f t="shared" si="28"/>
        <v>29170</v>
      </c>
      <c r="BJ45" s="123">
        <f t="shared" si="28"/>
        <v>17697</v>
      </c>
      <c r="BK45" s="123">
        <f t="shared" si="28"/>
        <v>2127311.5024652784</v>
      </c>
      <c r="BL45" s="123">
        <f t="shared" si="4"/>
        <v>5120468.7110590283</v>
      </c>
      <c r="BM45" s="123">
        <f t="shared" si="28"/>
        <v>2509111.9984374996</v>
      </c>
      <c r="BN45" s="123">
        <f t="shared" si="19"/>
        <v>2611356.7126215287</v>
      </c>
      <c r="BO45" s="123">
        <f t="shared" si="20"/>
        <v>61445624.532708339</v>
      </c>
    </row>
    <row r="46" spans="2:67" ht="15.75" customHeight="1" x14ac:dyDescent="0.25">
      <c r="B46" s="89" t="s">
        <v>165</v>
      </c>
      <c r="C46" s="74"/>
      <c r="D46" s="72"/>
      <c r="E46" s="72"/>
      <c r="F46" s="72"/>
      <c r="G46" s="72"/>
      <c r="H46" s="72"/>
      <c r="I46" s="72"/>
      <c r="J46" s="74"/>
      <c r="K46" s="74"/>
      <c r="L46" s="76"/>
      <c r="M46" s="96"/>
      <c r="N46" s="77"/>
      <c r="O46" s="78">
        <f t="shared" si="0"/>
        <v>0</v>
      </c>
      <c r="P46" s="92">
        <f>P76+P58</f>
        <v>3</v>
      </c>
      <c r="Q46" s="92"/>
      <c r="R46" s="92"/>
      <c r="S46" s="92">
        <f>S47+S58+S76</f>
        <v>10</v>
      </c>
      <c r="T46" s="92">
        <f>T47+T58+T76</f>
        <v>12</v>
      </c>
      <c r="U46" s="92">
        <f>U54+U55</f>
        <v>4</v>
      </c>
      <c r="V46" s="119">
        <f>V76</f>
        <v>11385.07</v>
      </c>
      <c r="W46" s="119"/>
      <c r="X46" s="119"/>
      <c r="Y46" s="119">
        <f>Y47+Y58</f>
        <v>49826.886666666673</v>
      </c>
      <c r="Z46" s="119">
        <f>Z47+Z58</f>
        <v>54742.720000000001</v>
      </c>
      <c r="AA46" s="119">
        <f>AA47+AA58</f>
        <v>78967.94666666667</v>
      </c>
      <c r="AB46" s="119">
        <f>AB47+AB58+AB76</f>
        <v>194922.62333333335</v>
      </c>
      <c r="AC46" s="119">
        <f>AC47+AC58+AC76</f>
        <v>97461.311666666676</v>
      </c>
      <c r="AD46" s="119">
        <f>AD47+AD58+AD76</f>
        <v>73095.983749999999</v>
      </c>
      <c r="AE46" s="119">
        <f>AE47+AE58+AE76</f>
        <v>33810.487187500003</v>
      </c>
      <c r="AF46" s="119">
        <f>AF47+AF58+AF76</f>
        <v>399290.40593750001</v>
      </c>
      <c r="AG46" s="53">
        <f>AG47+AG57</f>
        <v>0</v>
      </c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94"/>
      <c r="AW46" s="94"/>
      <c r="AX46" s="94"/>
      <c r="AY46" s="94"/>
      <c r="AZ46" s="94"/>
      <c r="BA46" s="53"/>
      <c r="BB46" s="53"/>
      <c r="BC46" s="53"/>
      <c r="BD46" s="92">
        <f>BD47+BD61</f>
        <v>8212.5140624999985</v>
      </c>
      <c r="BE46" s="53"/>
      <c r="BF46" s="53"/>
      <c r="BG46" s="53"/>
      <c r="BH46" s="53"/>
      <c r="BI46" s="53"/>
      <c r="BJ46" s="53"/>
      <c r="BK46" s="94"/>
      <c r="BL46" s="119">
        <f>BL47+BL58+BL76</f>
        <v>416688.76906250004</v>
      </c>
      <c r="BM46" s="119">
        <f>BM47+BM58+BM76</f>
        <v>213330.57572916665</v>
      </c>
      <c r="BN46" s="119">
        <f>BN47+BN58+BN76</f>
        <v>203358.19333333336</v>
      </c>
      <c r="BO46" s="119">
        <f>BO47+BO58+BO76</f>
        <v>5000265.2287499998</v>
      </c>
    </row>
    <row r="47" spans="2:67" ht="15.75" customHeight="1" x14ac:dyDescent="0.25">
      <c r="B47" s="97" t="s">
        <v>166</v>
      </c>
      <c r="C47" s="73"/>
      <c r="D47" s="72"/>
      <c r="E47" s="72"/>
      <c r="F47" s="72"/>
      <c r="G47" s="72"/>
      <c r="H47" s="72"/>
      <c r="I47" s="72"/>
      <c r="J47" s="74"/>
      <c r="K47" s="74"/>
      <c r="L47" s="76"/>
      <c r="M47" s="98"/>
      <c r="N47" s="77"/>
      <c r="O47" s="94"/>
      <c r="P47" s="92"/>
      <c r="Q47" s="92"/>
      <c r="R47" s="92"/>
      <c r="S47" s="92">
        <f>S48+S49+S50+S51+S52+S53+S54+S55+S56</f>
        <v>3</v>
      </c>
      <c r="T47" s="92">
        <f>T48+T49+T50+T51+T52+T53+T54+T55+T56</f>
        <v>7</v>
      </c>
      <c r="U47" s="100"/>
      <c r="V47" s="92"/>
      <c r="W47" s="92"/>
      <c r="X47" s="92"/>
      <c r="Y47" s="119">
        <f>Y48+Y49+Y50+Y51+Y52+Y53+Y54+Y55+Y56</f>
        <v>15956.795000000002</v>
      </c>
      <c r="Z47" s="119">
        <f t="shared" ref="Z47:BK47" si="29">Z48+Z49+Z50+Z51+Z52+Z53+Z54+Z55+Z56</f>
        <v>30969.75</v>
      </c>
      <c r="AA47" s="119">
        <f t="shared" si="29"/>
        <v>18168.919999999998</v>
      </c>
      <c r="AB47" s="119">
        <f t="shared" si="29"/>
        <v>65095.464999999997</v>
      </c>
      <c r="AC47" s="119">
        <f t="shared" si="29"/>
        <v>32547.732499999998</v>
      </c>
      <c r="AD47" s="119">
        <f t="shared" si="29"/>
        <v>24410.799374999999</v>
      </c>
      <c r="AE47" s="119">
        <f t="shared" si="29"/>
        <v>10380.3965625</v>
      </c>
      <c r="AF47" s="119">
        <f t="shared" si="29"/>
        <v>132434.3934375</v>
      </c>
      <c r="AG47" s="119">
        <f t="shared" si="29"/>
        <v>0</v>
      </c>
      <c r="AH47" s="119">
        <f t="shared" si="29"/>
        <v>0</v>
      </c>
      <c r="AI47" s="119">
        <f t="shared" si="29"/>
        <v>0</v>
      </c>
      <c r="AJ47" s="119">
        <f t="shared" si="29"/>
        <v>0</v>
      </c>
      <c r="AK47" s="119">
        <f t="shared" si="29"/>
        <v>0</v>
      </c>
      <c r="AL47" s="119">
        <f t="shared" si="29"/>
        <v>0</v>
      </c>
      <c r="AM47" s="119">
        <f t="shared" si="29"/>
        <v>0</v>
      </c>
      <c r="AN47" s="119">
        <f t="shared" si="29"/>
        <v>0</v>
      </c>
      <c r="AO47" s="119">
        <f t="shared" si="29"/>
        <v>0</v>
      </c>
      <c r="AP47" s="119">
        <f t="shared" si="29"/>
        <v>0</v>
      </c>
      <c r="AQ47" s="119">
        <f t="shared" si="29"/>
        <v>0</v>
      </c>
      <c r="AR47" s="119">
        <f t="shared" si="29"/>
        <v>0</v>
      </c>
      <c r="AS47" s="119">
        <f t="shared" si="29"/>
        <v>0</v>
      </c>
      <c r="AT47" s="119">
        <f t="shared" si="29"/>
        <v>0</v>
      </c>
      <c r="AU47" s="119">
        <f t="shared" si="29"/>
        <v>0</v>
      </c>
      <c r="AV47" s="119">
        <f t="shared" si="29"/>
        <v>0</v>
      </c>
      <c r="AW47" s="119">
        <f t="shared" si="29"/>
        <v>0</v>
      </c>
      <c r="AX47" s="119">
        <f t="shared" si="29"/>
        <v>0</v>
      </c>
      <c r="AY47" s="119">
        <f t="shared" si="29"/>
        <v>0</v>
      </c>
      <c r="AZ47" s="119">
        <f t="shared" si="29"/>
        <v>0</v>
      </c>
      <c r="BA47" s="119">
        <f t="shared" si="29"/>
        <v>0</v>
      </c>
      <c r="BB47" s="119">
        <f t="shared" si="29"/>
        <v>0</v>
      </c>
      <c r="BC47" s="119">
        <f t="shared" si="29"/>
        <v>2</v>
      </c>
      <c r="BD47" s="119">
        <f t="shared" si="29"/>
        <v>5475.0093749999996</v>
      </c>
      <c r="BE47" s="119">
        <f t="shared" si="29"/>
        <v>0</v>
      </c>
      <c r="BF47" s="119">
        <f t="shared" si="29"/>
        <v>0</v>
      </c>
      <c r="BG47" s="119">
        <f t="shared" si="29"/>
        <v>0</v>
      </c>
      <c r="BH47" s="119">
        <f t="shared" si="29"/>
        <v>0</v>
      </c>
      <c r="BI47" s="119">
        <f t="shared" si="29"/>
        <v>0</v>
      </c>
      <c r="BJ47" s="119"/>
      <c r="BK47" s="119">
        <f t="shared" si="29"/>
        <v>0</v>
      </c>
      <c r="BL47" s="119">
        <f>BL48+BL49+BL50+BL51+BL52+BL53+BL54+BL55+BL56+BL57</f>
        <v>149832.7565625</v>
      </c>
      <c r="BM47" s="119">
        <f t="shared" ref="BM47:BO47" si="30">BM48+BM49+BM50+BM51+BM52+BM53+BM54+BM55+BM56+BM57</f>
        <v>76301.721562499995</v>
      </c>
      <c r="BN47" s="119">
        <f t="shared" si="30"/>
        <v>73531.035000000003</v>
      </c>
      <c r="BO47" s="119">
        <f t="shared" si="30"/>
        <v>1797993.0787499999</v>
      </c>
    </row>
    <row r="48" spans="2:67" ht="15.75" customHeight="1" x14ac:dyDescent="0.25">
      <c r="B48" s="72" t="s">
        <v>126</v>
      </c>
      <c r="C48" s="74" t="s">
        <v>168</v>
      </c>
      <c r="D48" s="72" t="s">
        <v>127</v>
      </c>
      <c r="E48" s="72" t="s">
        <v>79</v>
      </c>
      <c r="F48" s="74">
        <v>55</v>
      </c>
      <c r="G48" s="72" t="s">
        <v>128</v>
      </c>
      <c r="H48" s="72" t="s">
        <v>97</v>
      </c>
      <c r="I48" s="72" t="s">
        <v>85</v>
      </c>
      <c r="J48" s="72" t="s">
        <v>86</v>
      </c>
      <c r="K48" s="74" t="s">
        <v>87</v>
      </c>
      <c r="L48" s="76">
        <v>32.03</v>
      </c>
      <c r="M48" s="76">
        <v>5.41</v>
      </c>
      <c r="N48" s="77">
        <v>17697</v>
      </c>
      <c r="O48" s="78">
        <f t="shared" ref="O48:O57" si="31">SUM(N48*M48)</f>
        <v>95740.77</v>
      </c>
      <c r="P48" s="74"/>
      <c r="Q48" s="74"/>
      <c r="R48" s="74"/>
      <c r="S48" s="79"/>
      <c r="T48" s="79">
        <v>1</v>
      </c>
      <c r="U48" s="79"/>
      <c r="V48" s="78"/>
      <c r="W48" s="78"/>
      <c r="X48" s="78"/>
      <c r="Y48" s="118">
        <f>O48/18*S48</f>
        <v>0</v>
      </c>
      <c r="Z48" s="118">
        <f>O48/18*T48</f>
        <v>5318.9316666666673</v>
      </c>
      <c r="AA48" s="92"/>
      <c r="AB48" s="120">
        <f>O48/18*T48</f>
        <v>5318.9316666666673</v>
      </c>
      <c r="AC48" s="120">
        <f>AB48*50%</f>
        <v>2659.4658333333336</v>
      </c>
      <c r="AD48" s="120">
        <f t="shared" si="11"/>
        <v>1994.5993750000002</v>
      </c>
      <c r="AE48" s="120">
        <f t="shared" ref="AE48:AE79" si="32">SUM(AB48+AD48+AC48)*10%</f>
        <v>997.29968750000012</v>
      </c>
      <c r="AF48" s="120">
        <f t="shared" ref="AF48:AF77" si="33">SUM(AB48:AE48)</f>
        <v>10970.296562500002</v>
      </c>
      <c r="AG48" s="46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53"/>
      <c r="AW48" s="53"/>
      <c r="AX48" s="53"/>
      <c r="AY48" s="53"/>
      <c r="AZ48" s="53"/>
      <c r="BA48" s="49"/>
      <c r="BB48" s="49"/>
      <c r="BC48" s="45"/>
      <c r="BD48" s="79"/>
      <c r="BE48" s="47"/>
      <c r="BF48" s="51"/>
      <c r="BG48" s="47"/>
      <c r="BH48" s="47"/>
      <c r="BI48" s="47"/>
      <c r="BJ48" s="47"/>
      <c r="BK48" s="94"/>
      <c r="BL48" s="120">
        <f t="shared" ref="BL48:BL79" si="34">AF48</f>
        <v>10970.296562500002</v>
      </c>
      <c r="BM48" s="120">
        <f t="shared" ref="BM48:BM79" si="35">AD48+AC48+AE48</f>
        <v>5651.3648958333333</v>
      </c>
      <c r="BN48" s="120">
        <f>BL48-BM48</f>
        <v>5318.9316666666682</v>
      </c>
      <c r="BO48" s="120">
        <f>BL48*12</f>
        <v>131643.55875000003</v>
      </c>
    </row>
    <row r="49" spans="2:67" ht="15.75" customHeight="1" x14ac:dyDescent="0.25">
      <c r="B49" s="72" t="s">
        <v>88</v>
      </c>
      <c r="C49" s="74" t="s">
        <v>169</v>
      </c>
      <c r="D49" s="72" t="s">
        <v>90</v>
      </c>
      <c r="E49" s="72" t="s">
        <v>79</v>
      </c>
      <c r="F49" s="74">
        <v>47</v>
      </c>
      <c r="G49" s="75">
        <v>43335</v>
      </c>
      <c r="H49" s="75">
        <v>45161</v>
      </c>
      <c r="I49" s="72" t="s">
        <v>91</v>
      </c>
      <c r="J49" s="72" t="s">
        <v>92</v>
      </c>
      <c r="K49" s="74" t="s">
        <v>87</v>
      </c>
      <c r="L49" s="76">
        <v>20.079999999999998</v>
      </c>
      <c r="M49" s="82">
        <v>5.32</v>
      </c>
      <c r="N49" s="77">
        <v>17697</v>
      </c>
      <c r="O49" s="78">
        <f t="shared" si="31"/>
        <v>94148.040000000008</v>
      </c>
      <c r="P49" s="74"/>
      <c r="Q49" s="79"/>
      <c r="R49" s="74"/>
      <c r="S49" s="78"/>
      <c r="T49" s="99">
        <v>1</v>
      </c>
      <c r="U49" s="78"/>
      <c r="V49" s="78"/>
      <c r="W49" s="78"/>
      <c r="X49" s="78"/>
      <c r="Y49" s="118">
        <f t="shared" ref="Y49:Y57" si="36">O49/18*S49</f>
        <v>0</v>
      </c>
      <c r="Z49" s="118">
        <f t="shared" ref="Z49:Z57" si="37">O49/18*T49</f>
        <v>5230.4466666666667</v>
      </c>
      <c r="AA49" s="92"/>
      <c r="AB49" s="120">
        <f>O49/18*T49</f>
        <v>5230.4466666666667</v>
      </c>
      <c r="AC49" s="120">
        <f t="shared" ref="AC49:AC57" si="38">AB49*50%</f>
        <v>2615.2233333333334</v>
      </c>
      <c r="AD49" s="120">
        <f t="shared" si="11"/>
        <v>1961.4175</v>
      </c>
      <c r="AE49" s="120">
        <f t="shared" si="32"/>
        <v>980.70875000000001</v>
      </c>
      <c r="AF49" s="120">
        <f t="shared" si="33"/>
        <v>10787.796249999999</v>
      </c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5"/>
      <c r="AW49" s="45"/>
      <c r="AX49" s="48"/>
      <c r="AY49" s="45"/>
      <c r="AZ49" s="47"/>
      <c r="BA49" s="45"/>
      <c r="BB49" s="45"/>
      <c r="BC49" s="45"/>
      <c r="BD49" s="74"/>
      <c r="BE49" s="45"/>
      <c r="BF49" s="45"/>
      <c r="BG49" s="45"/>
      <c r="BH49" s="45"/>
      <c r="BI49" s="45"/>
      <c r="BJ49" s="45"/>
      <c r="BK49" s="94"/>
      <c r="BL49" s="120">
        <f t="shared" si="34"/>
        <v>10787.796249999999</v>
      </c>
      <c r="BM49" s="120">
        <f t="shared" si="35"/>
        <v>5557.3495833333327</v>
      </c>
      <c r="BN49" s="120">
        <f t="shared" ref="BN49:BN79" si="39">BL49-BM49</f>
        <v>5230.4466666666667</v>
      </c>
      <c r="BO49" s="120">
        <f t="shared" ref="BO49:BO79" si="40">BL49*12</f>
        <v>129453.55499999999</v>
      </c>
    </row>
    <row r="50" spans="2:67" ht="15.75" customHeight="1" x14ac:dyDescent="0.25">
      <c r="B50" s="72" t="s">
        <v>115</v>
      </c>
      <c r="C50" s="74" t="s">
        <v>171</v>
      </c>
      <c r="D50" s="72" t="s">
        <v>117</v>
      </c>
      <c r="E50" s="72" t="s">
        <v>118</v>
      </c>
      <c r="F50" s="74">
        <v>32</v>
      </c>
      <c r="G50" s="75">
        <v>42529</v>
      </c>
      <c r="H50" s="75">
        <v>44355</v>
      </c>
      <c r="I50" s="72" t="s">
        <v>119</v>
      </c>
      <c r="J50" s="72" t="s">
        <v>106</v>
      </c>
      <c r="K50" s="74" t="s">
        <v>239</v>
      </c>
      <c r="L50" s="76">
        <v>37.01</v>
      </c>
      <c r="M50" s="76">
        <v>4.29</v>
      </c>
      <c r="N50" s="77">
        <v>17697</v>
      </c>
      <c r="O50" s="78">
        <f t="shared" si="31"/>
        <v>75920.13</v>
      </c>
      <c r="P50" s="74"/>
      <c r="Q50" s="74"/>
      <c r="R50" s="74"/>
      <c r="S50" s="78"/>
      <c r="T50" s="99">
        <v>2</v>
      </c>
      <c r="U50" s="78"/>
      <c r="V50" s="78"/>
      <c r="W50" s="78"/>
      <c r="X50" s="78"/>
      <c r="Y50" s="118">
        <f t="shared" si="36"/>
        <v>0</v>
      </c>
      <c r="Z50" s="118">
        <f t="shared" si="37"/>
        <v>8435.57</v>
      </c>
      <c r="AA50" s="92"/>
      <c r="AB50" s="120">
        <f>O50/18*T50</f>
        <v>8435.57</v>
      </c>
      <c r="AC50" s="120">
        <f t="shared" si="38"/>
        <v>4217.7849999999999</v>
      </c>
      <c r="AD50" s="120">
        <f t="shared" si="11"/>
        <v>3163.3387499999999</v>
      </c>
      <c r="AE50" s="120">
        <f t="shared" si="32"/>
        <v>1581.6693749999999</v>
      </c>
      <c r="AF50" s="120">
        <f t="shared" si="33"/>
        <v>17398.363125</v>
      </c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5"/>
      <c r="AW50" s="45"/>
      <c r="AX50" s="45"/>
      <c r="AY50" s="45"/>
      <c r="AZ50" s="47"/>
      <c r="BA50" s="45"/>
      <c r="BB50" s="45"/>
      <c r="BC50" s="45"/>
      <c r="BD50" s="74"/>
      <c r="BE50" s="45"/>
      <c r="BF50" s="45"/>
      <c r="BG50" s="45"/>
      <c r="BH50" s="45"/>
      <c r="BI50" s="45"/>
      <c r="BJ50" s="45"/>
      <c r="BK50" s="94"/>
      <c r="BL50" s="120">
        <f t="shared" si="34"/>
        <v>17398.363125</v>
      </c>
      <c r="BM50" s="120">
        <f t="shared" si="35"/>
        <v>8962.7931250000001</v>
      </c>
      <c r="BN50" s="120">
        <f t="shared" si="39"/>
        <v>8435.57</v>
      </c>
      <c r="BO50" s="120">
        <f t="shared" si="40"/>
        <v>208780.35749999998</v>
      </c>
    </row>
    <row r="51" spans="2:67" ht="15.75" customHeight="1" x14ac:dyDescent="0.25">
      <c r="B51" s="83" t="s">
        <v>139</v>
      </c>
      <c r="C51" s="74" t="s">
        <v>172</v>
      </c>
      <c r="D51" s="72" t="s">
        <v>141</v>
      </c>
      <c r="E51" s="72" t="s">
        <v>79</v>
      </c>
      <c r="F51" s="74">
        <v>29</v>
      </c>
      <c r="G51" s="72" t="s">
        <v>136</v>
      </c>
      <c r="H51" s="72" t="s">
        <v>137</v>
      </c>
      <c r="I51" s="72" t="s">
        <v>101</v>
      </c>
      <c r="J51" s="72" t="s">
        <v>79</v>
      </c>
      <c r="K51" s="74" t="s">
        <v>87</v>
      </c>
      <c r="L51" s="76">
        <v>38.03</v>
      </c>
      <c r="M51" s="76">
        <v>5.41</v>
      </c>
      <c r="N51" s="77">
        <v>17697</v>
      </c>
      <c r="O51" s="78">
        <f t="shared" si="31"/>
        <v>95740.77</v>
      </c>
      <c r="P51" s="79"/>
      <c r="Q51" s="74"/>
      <c r="R51" s="74"/>
      <c r="S51" s="79">
        <v>2</v>
      </c>
      <c r="T51" s="79"/>
      <c r="U51" s="79"/>
      <c r="V51" s="78"/>
      <c r="W51" s="78"/>
      <c r="X51" s="78"/>
      <c r="Y51" s="118">
        <f t="shared" si="36"/>
        <v>10637.863333333335</v>
      </c>
      <c r="Z51" s="118">
        <f t="shared" si="37"/>
        <v>0</v>
      </c>
      <c r="AA51" s="92"/>
      <c r="AB51" s="120">
        <f>Y51</f>
        <v>10637.863333333335</v>
      </c>
      <c r="AC51" s="120">
        <f t="shared" si="38"/>
        <v>5318.9316666666673</v>
      </c>
      <c r="AD51" s="120">
        <f t="shared" si="11"/>
        <v>3989.1987500000005</v>
      </c>
      <c r="AE51" s="120">
        <f t="shared" si="32"/>
        <v>1994.5993750000002</v>
      </c>
      <c r="AF51" s="120">
        <f t="shared" si="33"/>
        <v>21940.593125000003</v>
      </c>
      <c r="AG51" s="46"/>
      <c r="AH51" s="50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5"/>
      <c r="AW51" s="45"/>
      <c r="AX51" s="45"/>
      <c r="AY51" s="45"/>
      <c r="AZ51" s="47"/>
      <c r="BA51" s="49"/>
      <c r="BB51" s="49"/>
      <c r="BC51" s="45"/>
      <c r="BD51" s="79"/>
      <c r="BE51" s="47"/>
      <c r="BF51" s="47"/>
      <c r="BG51" s="47"/>
      <c r="BH51" s="47"/>
      <c r="BI51" s="47"/>
      <c r="BJ51" s="47"/>
      <c r="BK51" s="94"/>
      <c r="BL51" s="120">
        <f t="shared" si="34"/>
        <v>21940.593125000003</v>
      </c>
      <c r="BM51" s="120">
        <f t="shared" si="35"/>
        <v>11302.729791666667</v>
      </c>
      <c r="BN51" s="120">
        <f t="shared" si="39"/>
        <v>10637.863333333336</v>
      </c>
      <c r="BO51" s="120">
        <f t="shared" si="40"/>
        <v>263287.11750000005</v>
      </c>
    </row>
    <row r="52" spans="2:67" ht="15.75" customHeight="1" x14ac:dyDescent="0.25">
      <c r="B52" s="83" t="s">
        <v>124</v>
      </c>
      <c r="C52" s="74" t="s">
        <v>167</v>
      </c>
      <c r="D52" s="156" t="s">
        <v>125</v>
      </c>
      <c r="E52" s="72" t="s">
        <v>79</v>
      </c>
      <c r="F52" s="74">
        <v>51</v>
      </c>
      <c r="G52" s="75">
        <v>43335</v>
      </c>
      <c r="H52" s="75">
        <v>45161</v>
      </c>
      <c r="I52" s="72" t="s">
        <v>101</v>
      </c>
      <c r="J52" s="72" t="s">
        <v>92</v>
      </c>
      <c r="K52" s="74" t="s">
        <v>87</v>
      </c>
      <c r="L52" s="84">
        <v>29.11</v>
      </c>
      <c r="M52" s="76">
        <v>5.41</v>
      </c>
      <c r="N52" s="77">
        <v>17697</v>
      </c>
      <c r="O52" s="78">
        <f t="shared" si="31"/>
        <v>95740.77</v>
      </c>
      <c r="P52" s="74"/>
      <c r="Q52" s="74"/>
      <c r="R52" s="74"/>
      <c r="S52" s="78">
        <v>1</v>
      </c>
      <c r="T52" s="99"/>
      <c r="U52" s="78"/>
      <c r="V52" s="78"/>
      <c r="W52" s="78"/>
      <c r="X52" s="78"/>
      <c r="Y52" s="118">
        <f t="shared" si="36"/>
        <v>5318.9316666666673</v>
      </c>
      <c r="Z52" s="118">
        <f t="shared" si="37"/>
        <v>0</v>
      </c>
      <c r="AA52" s="92"/>
      <c r="AB52" s="120">
        <f>Y52</f>
        <v>5318.9316666666673</v>
      </c>
      <c r="AC52" s="120">
        <f t="shared" si="38"/>
        <v>2659.4658333333336</v>
      </c>
      <c r="AD52" s="120">
        <f t="shared" si="11"/>
        <v>1994.5993750000002</v>
      </c>
      <c r="AE52" s="120">
        <f t="shared" si="32"/>
        <v>997.29968750000012</v>
      </c>
      <c r="AF52" s="120">
        <f t="shared" si="33"/>
        <v>10970.296562500002</v>
      </c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5"/>
      <c r="AW52" s="52"/>
      <c r="AX52" s="45"/>
      <c r="AY52" s="45"/>
      <c r="AZ52" s="47"/>
      <c r="BA52" s="45"/>
      <c r="BB52" s="45"/>
      <c r="BC52" s="45"/>
      <c r="BD52" s="74"/>
      <c r="BE52" s="45"/>
      <c r="BF52" s="45"/>
      <c r="BG52" s="45"/>
      <c r="BH52" s="45"/>
      <c r="BI52" s="45"/>
      <c r="BJ52" s="45"/>
      <c r="BK52" s="94"/>
      <c r="BL52" s="120">
        <f t="shared" si="34"/>
        <v>10970.296562500002</v>
      </c>
      <c r="BM52" s="120">
        <f t="shared" si="35"/>
        <v>5651.3648958333333</v>
      </c>
      <c r="BN52" s="120">
        <f t="shared" si="39"/>
        <v>5318.9316666666682</v>
      </c>
      <c r="BO52" s="120">
        <f t="shared" si="40"/>
        <v>131643.55875000003</v>
      </c>
    </row>
    <row r="53" spans="2:67" ht="15.75" customHeight="1" x14ac:dyDescent="0.25">
      <c r="B53" s="72" t="s">
        <v>115</v>
      </c>
      <c r="C53" s="74" t="s">
        <v>231</v>
      </c>
      <c r="D53" s="72" t="s">
        <v>117</v>
      </c>
      <c r="E53" s="72" t="s">
        <v>118</v>
      </c>
      <c r="F53" s="74">
        <v>32</v>
      </c>
      <c r="G53" s="75">
        <v>42529</v>
      </c>
      <c r="H53" s="75">
        <v>44355</v>
      </c>
      <c r="I53" s="72" t="s">
        <v>119</v>
      </c>
      <c r="J53" s="72" t="s">
        <v>106</v>
      </c>
      <c r="K53" s="74" t="s">
        <v>239</v>
      </c>
      <c r="L53" s="76">
        <v>37.01</v>
      </c>
      <c r="M53" s="76">
        <v>4.29</v>
      </c>
      <c r="N53" s="77">
        <v>17697</v>
      </c>
      <c r="O53" s="78">
        <f t="shared" si="31"/>
        <v>75920.13</v>
      </c>
      <c r="P53" s="74"/>
      <c r="Q53" s="88"/>
      <c r="R53" s="74"/>
      <c r="S53" s="79"/>
      <c r="T53" s="79">
        <v>2</v>
      </c>
      <c r="U53" s="79"/>
      <c r="V53" s="78"/>
      <c r="W53" s="78"/>
      <c r="X53" s="78"/>
      <c r="Y53" s="118">
        <f t="shared" si="36"/>
        <v>0</v>
      </c>
      <c r="Z53" s="118">
        <f t="shared" si="37"/>
        <v>8435.57</v>
      </c>
      <c r="AA53" s="92"/>
      <c r="AB53" s="120">
        <f>O53/18*T53</f>
        <v>8435.57</v>
      </c>
      <c r="AC53" s="120">
        <f t="shared" si="38"/>
        <v>4217.7849999999999</v>
      </c>
      <c r="AD53" s="120">
        <f t="shared" si="11"/>
        <v>3163.3387499999999</v>
      </c>
      <c r="AE53" s="120">
        <f t="shared" si="32"/>
        <v>1581.6693749999999</v>
      </c>
      <c r="AF53" s="120">
        <f t="shared" si="33"/>
        <v>17398.363125</v>
      </c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5"/>
      <c r="AW53" s="45"/>
      <c r="AX53" s="48"/>
      <c r="AY53" s="45"/>
      <c r="AZ53" s="47"/>
      <c r="BA53" s="49"/>
      <c r="BB53" s="49"/>
      <c r="BC53" s="45"/>
      <c r="BD53" s="79"/>
      <c r="BE53" s="47"/>
      <c r="BF53" s="47"/>
      <c r="BG53" s="45"/>
      <c r="BH53" s="45"/>
      <c r="BI53" s="45"/>
      <c r="BJ53" s="45"/>
      <c r="BK53" s="94"/>
      <c r="BL53" s="120">
        <f t="shared" si="34"/>
        <v>17398.363125</v>
      </c>
      <c r="BM53" s="120">
        <f t="shared" si="35"/>
        <v>8962.7931250000001</v>
      </c>
      <c r="BN53" s="120">
        <f t="shared" si="39"/>
        <v>8435.57</v>
      </c>
      <c r="BO53" s="120">
        <f t="shared" si="40"/>
        <v>208780.35749999998</v>
      </c>
    </row>
    <row r="54" spans="2:67" s="117" customFormat="1" ht="15.75" customHeight="1" x14ac:dyDescent="0.25">
      <c r="B54" s="81" t="s">
        <v>102</v>
      </c>
      <c r="C54" s="114" t="s">
        <v>213</v>
      </c>
      <c r="D54" s="142" t="s">
        <v>104</v>
      </c>
      <c r="E54" s="81" t="s">
        <v>79</v>
      </c>
      <c r="F54" s="114">
        <v>53</v>
      </c>
      <c r="G54" s="143">
        <v>43335</v>
      </c>
      <c r="H54" s="143">
        <v>45161</v>
      </c>
      <c r="I54" s="81" t="s">
        <v>105</v>
      </c>
      <c r="J54" s="81" t="s">
        <v>106</v>
      </c>
      <c r="K54" s="114" t="s">
        <v>81</v>
      </c>
      <c r="L54" s="96">
        <v>14.05</v>
      </c>
      <c r="M54" s="96">
        <v>4.95</v>
      </c>
      <c r="N54" s="144">
        <v>17697</v>
      </c>
      <c r="O54" s="145">
        <f t="shared" si="31"/>
        <v>87600.150000000009</v>
      </c>
      <c r="P54" s="114"/>
      <c r="Q54" s="114"/>
      <c r="R54" s="114"/>
      <c r="S54" s="115"/>
      <c r="T54" s="115"/>
      <c r="U54" s="115">
        <v>2</v>
      </c>
      <c r="V54" s="145"/>
      <c r="W54" s="145"/>
      <c r="X54" s="145"/>
      <c r="Y54" s="146">
        <f t="shared" si="36"/>
        <v>0</v>
      </c>
      <c r="Z54" s="146">
        <f t="shared" si="37"/>
        <v>0</v>
      </c>
      <c r="AA54" s="132">
        <f>O54/18*U54</f>
        <v>9733.35</v>
      </c>
      <c r="AB54" s="147">
        <f>O54/18*U54</f>
        <v>9733.35</v>
      </c>
      <c r="AC54" s="147">
        <f t="shared" si="38"/>
        <v>4866.6750000000002</v>
      </c>
      <c r="AD54" s="147">
        <f t="shared" si="11"/>
        <v>3650.0062500000004</v>
      </c>
      <c r="AE54" s="147"/>
      <c r="AF54" s="147">
        <f t="shared" ref="AF54" si="41">SUM(AB54:AE54)</f>
        <v>18250.03125</v>
      </c>
      <c r="AG54" s="148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50"/>
      <c r="AW54" s="150"/>
      <c r="AX54" s="150"/>
      <c r="AY54" s="150"/>
      <c r="AZ54" s="149"/>
      <c r="BA54" s="151"/>
      <c r="BB54" s="151"/>
      <c r="BC54" s="150">
        <v>2</v>
      </c>
      <c r="BD54" s="125">
        <f t="shared" ref="BD54" si="42">(AB54+AC54+AD54)*30%</f>
        <v>5475.0093749999996</v>
      </c>
      <c r="BE54" s="149"/>
      <c r="BF54" s="149"/>
      <c r="BG54" s="149"/>
      <c r="BH54" s="149"/>
      <c r="BI54" s="149"/>
      <c r="BJ54" s="149"/>
      <c r="BK54" s="152"/>
      <c r="BL54" s="147">
        <f t="shared" si="34"/>
        <v>18250.03125</v>
      </c>
      <c r="BM54" s="147">
        <f t="shared" si="35"/>
        <v>8516.6812500000015</v>
      </c>
      <c r="BN54" s="147">
        <f t="shared" si="39"/>
        <v>9733.3499999999985</v>
      </c>
      <c r="BO54" s="147">
        <f t="shared" si="40"/>
        <v>219000.375</v>
      </c>
    </row>
    <row r="55" spans="2:67" ht="15.75" customHeight="1" x14ac:dyDescent="0.25">
      <c r="B55" s="72" t="s">
        <v>115</v>
      </c>
      <c r="C55" s="74" t="s">
        <v>175</v>
      </c>
      <c r="D55" s="72" t="s">
        <v>117</v>
      </c>
      <c r="E55" s="72" t="s">
        <v>118</v>
      </c>
      <c r="F55" s="74">
        <v>32</v>
      </c>
      <c r="G55" s="75">
        <v>42529</v>
      </c>
      <c r="H55" s="75">
        <v>44355</v>
      </c>
      <c r="I55" s="72" t="s">
        <v>119</v>
      </c>
      <c r="J55" s="72" t="s">
        <v>106</v>
      </c>
      <c r="K55" s="74" t="s">
        <v>239</v>
      </c>
      <c r="L55" s="76">
        <v>37.01</v>
      </c>
      <c r="M55" s="76">
        <v>4.29</v>
      </c>
      <c r="N55" s="77">
        <v>17697</v>
      </c>
      <c r="O55" s="78">
        <f t="shared" si="31"/>
        <v>75920.13</v>
      </c>
      <c r="P55" s="74"/>
      <c r="Q55" s="74"/>
      <c r="R55" s="74"/>
      <c r="S55" s="78"/>
      <c r="T55" s="78"/>
      <c r="U55" s="99">
        <v>2</v>
      </c>
      <c r="V55" s="78"/>
      <c r="W55" s="78"/>
      <c r="X55" s="78"/>
      <c r="Y55" s="118">
        <f t="shared" si="36"/>
        <v>0</v>
      </c>
      <c r="Z55" s="118">
        <f t="shared" si="37"/>
        <v>0</v>
      </c>
      <c r="AA55" s="125">
        <f>O55/18*U55</f>
        <v>8435.57</v>
      </c>
      <c r="AB55" s="120">
        <f>O55/18*U55</f>
        <v>8435.57</v>
      </c>
      <c r="AC55" s="120">
        <f t="shared" si="38"/>
        <v>4217.7849999999999</v>
      </c>
      <c r="AD55" s="120">
        <f t="shared" si="11"/>
        <v>3163.3387499999999</v>
      </c>
      <c r="AE55" s="120">
        <f t="shared" ref="AE55" si="43">SUM(AB55+AD55+AC55)*10%</f>
        <v>1581.6693749999999</v>
      </c>
      <c r="AF55" s="120">
        <f t="shared" ref="AF55" si="44">SUM(AB55:AE55)</f>
        <v>17398.363125</v>
      </c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5"/>
      <c r="AW55" s="45"/>
      <c r="AX55" s="45"/>
      <c r="AY55" s="45"/>
      <c r="AZ55" s="47"/>
      <c r="BA55" s="45"/>
      <c r="BB55" s="45"/>
      <c r="BC55" s="45"/>
      <c r="BD55" s="125"/>
      <c r="BE55" s="45"/>
      <c r="BF55" s="45"/>
      <c r="BG55" s="45"/>
      <c r="BH55" s="45"/>
      <c r="BI55" s="45"/>
      <c r="BJ55" s="45"/>
      <c r="BK55" s="94"/>
      <c r="BL55" s="120">
        <f t="shared" si="34"/>
        <v>17398.363125</v>
      </c>
      <c r="BM55" s="120">
        <f t="shared" si="35"/>
        <v>8962.7931250000001</v>
      </c>
      <c r="BN55" s="120">
        <f t="shared" si="39"/>
        <v>8435.57</v>
      </c>
      <c r="BO55" s="120">
        <f t="shared" si="40"/>
        <v>208780.35749999998</v>
      </c>
    </row>
    <row r="56" spans="2:67" ht="15.75" customHeight="1" x14ac:dyDescent="0.25">
      <c r="B56" s="72" t="s">
        <v>161</v>
      </c>
      <c r="C56" s="74" t="s">
        <v>203</v>
      </c>
      <c r="D56" s="72" t="s">
        <v>163</v>
      </c>
      <c r="E56" s="72" t="s">
        <v>79</v>
      </c>
      <c r="F56" s="74">
        <v>28</v>
      </c>
      <c r="G56" s="72"/>
      <c r="H56" s="72"/>
      <c r="I56" s="72" t="s">
        <v>162</v>
      </c>
      <c r="J56" s="72" t="s">
        <v>156</v>
      </c>
      <c r="K56" s="74" t="s">
        <v>160</v>
      </c>
      <c r="L56" s="76">
        <v>14.1</v>
      </c>
      <c r="M56" s="82">
        <v>3.61</v>
      </c>
      <c r="N56" s="77">
        <v>17697</v>
      </c>
      <c r="O56" s="78">
        <f t="shared" si="31"/>
        <v>63886.17</v>
      </c>
      <c r="P56" s="74"/>
      <c r="Q56" s="88"/>
      <c r="R56" s="74"/>
      <c r="S56" s="79"/>
      <c r="T56" s="79">
        <v>1</v>
      </c>
      <c r="U56" s="79"/>
      <c r="V56" s="78"/>
      <c r="W56" s="78"/>
      <c r="X56" s="78"/>
      <c r="Y56" s="118">
        <f t="shared" si="36"/>
        <v>0</v>
      </c>
      <c r="Z56" s="118">
        <f t="shared" si="37"/>
        <v>3549.2316666666666</v>
      </c>
      <c r="AA56" s="119"/>
      <c r="AB56" s="120">
        <f>O56/18*T56</f>
        <v>3549.2316666666666</v>
      </c>
      <c r="AC56" s="120">
        <f t="shared" si="38"/>
        <v>1774.6158333333333</v>
      </c>
      <c r="AD56" s="120">
        <f t="shared" si="11"/>
        <v>1330.961875</v>
      </c>
      <c r="AE56" s="120">
        <f t="shared" si="32"/>
        <v>665.48093749999998</v>
      </c>
      <c r="AF56" s="120">
        <f t="shared" si="33"/>
        <v>7320.2903124999993</v>
      </c>
      <c r="AG56" s="46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5"/>
      <c r="AW56" s="45"/>
      <c r="AX56" s="48"/>
      <c r="AY56" s="45"/>
      <c r="AZ56" s="47"/>
      <c r="BA56" s="49"/>
      <c r="BB56" s="49"/>
      <c r="BC56" s="45"/>
      <c r="BD56" s="125"/>
      <c r="BE56" s="47"/>
      <c r="BF56" s="47"/>
      <c r="BG56" s="45"/>
      <c r="BH56" s="45"/>
      <c r="BI56" s="45"/>
      <c r="BJ56" s="45"/>
      <c r="BK56" s="94"/>
      <c r="BL56" s="120">
        <f t="shared" si="34"/>
        <v>7320.2903124999993</v>
      </c>
      <c r="BM56" s="120">
        <f t="shared" si="35"/>
        <v>3771.0586458333332</v>
      </c>
      <c r="BN56" s="120">
        <f t="shared" si="39"/>
        <v>3549.2316666666661</v>
      </c>
      <c r="BO56" s="120">
        <f t="shared" si="40"/>
        <v>87843.483749999985</v>
      </c>
    </row>
    <row r="57" spans="2:67" ht="15.75" customHeight="1" x14ac:dyDescent="0.25">
      <c r="B57" s="72" t="s">
        <v>115</v>
      </c>
      <c r="C57" s="74" t="s">
        <v>241</v>
      </c>
      <c r="D57" s="72" t="s">
        <v>117</v>
      </c>
      <c r="E57" s="72" t="s">
        <v>118</v>
      </c>
      <c r="F57" s="74">
        <v>32</v>
      </c>
      <c r="G57" s="75">
        <v>42529</v>
      </c>
      <c r="H57" s="75">
        <v>44355</v>
      </c>
      <c r="I57" s="72" t="s">
        <v>119</v>
      </c>
      <c r="J57" s="72" t="s">
        <v>106</v>
      </c>
      <c r="K57" s="74" t="s">
        <v>239</v>
      </c>
      <c r="L57" s="76">
        <v>37.01</v>
      </c>
      <c r="M57" s="76">
        <v>4.29</v>
      </c>
      <c r="N57" s="77">
        <v>17697</v>
      </c>
      <c r="O57" s="78">
        <f t="shared" si="31"/>
        <v>75920.13</v>
      </c>
      <c r="P57" s="74"/>
      <c r="Q57" s="74"/>
      <c r="R57" s="74"/>
      <c r="S57" s="78"/>
      <c r="T57" s="78">
        <v>2</v>
      </c>
      <c r="U57" s="99"/>
      <c r="V57" s="78"/>
      <c r="W57" s="78"/>
      <c r="X57" s="78"/>
      <c r="Y57" s="118">
        <f t="shared" si="36"/>
        <v>0</v>
      </c>
      <c r="Z57" s="118">
        <f t="shared" si="37"/>
        <v>8435.57</v>
      </c>
      <c r="AA57" s="125">
        <f>O57/18*U57</f>
        <v>0</v>
      </c>
      <c r="AB57" s="120">
        <f>O57/18*T57</f>
        <v>8435.57</v>
      </c>
      <c r="AC57" s="120">
        <f t="shared" si="38"/>
        <v>4217.7849999999999</v>
      </c>
      <c r="AD57" s="120">
        <f t="shared" si="11"/>
        <v>3163.3387499999999</v>
      </c>
      <c r="AE57" s="120">
        <f t="shared" ref="AE57" si="45">SUM(AB57+AD57+AC57)*10%</f>
        <v>1581.6693749999999</v>
      </c>
      <c r="AF57" s="120">
        <f t="shared" si="33"/>
        <v>17398.363125</v>
      </c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5"/>
      <c r="AW57" s="45"/>
      <c r="AX57" s="45"/>
      <c r="AY57" s="45"/>
      <c r="AZ57" s="47"/>
      <c r="BA57" s="45"/>
      <c r="BB57" s="45"/>
      <c r="BC57" s="45"/>
      <c r="BD57" s="125"/>
      <c r="BE57" s="45"/>
      <c r="BF57" s="45"/>
      <c r="BG57" s="45"/>
      <c r="BH57" s="45"/>
      <c r="BI57" s="45"/>
      <c r="BJ57" s="45"/>
      <c r="BK57" s="94"/>
      <c r="BL57" s="120">
        <f t="shared" si="34"/>
        <v>17398.363125</v>
      </c>
      <c r="BM57" s="120">
        <f t="shared" si="35"/>
        <v>8962.7931250000001</v>
      </c>
      <c r="BN57" s="120">
        <f t="shared" si="39"/>
        <v>8435.57</v>
      </c>
      <c r="BO57" s="120">
        <f t="shared" si="40"/>
        <v>208780.35749999998</v>
      </c>
    </row>
    <row r="58" spans="2:67" ht="15.75" customHeight="1" x14ac:dyDescent="0.25">
      <c r="B58" s="89" t="s">
        <v>176</v>
      </c>
      <c r="C58" s="74"/>
      <c r="D58" s="72"/>
      <c r="E58" s="72"/>
      <c r="F58" s="72"/>
      <c r="G58" s="72"/>
      <c r="H58" s="72"/>
      <c r="I58" s="72"/>
      <c r="J58" s="74"/>
      <c r="K58" s="74"/>
      <c r="L58" s="76"/>
      <c r="M58" s="98"/>
      <c r="N58" s="77"/>
      <c r="O58" s="94"/>
      <c r="P58" s="92"/>
      <c r="Q58" s="92"/>
      <c r="R58" s="92"/>
      <c r="S58" s="92">
        <f>S59+S60+S61+S62+S63+S64+S65+S66+S67+S68+S69+S70+S71+S72+S73+S74+S75</f>
        <v>7</v>
      </c>
      <c r="T58" s="92">
        <f>T59+T60+T61+T62+T63+T64+T65+T66+T67+T68+T69+T70+T71+T72+T73+T74+T75</f>
        <v>5</v>
      </c>
      <c r="U58" s="92">
        <f>U59+U60+U61+U62+U63+U64+U65+U66+U67+U68+U69+U70+U71+U72+U73+U74+U75</f>
        <v>12</v>
      </c>
      <c r="V58" s="92"/>
      <c r="W58" s="92"/>
      <c r="X58" s="92"/>
      <c r="Y58" s="119">
        <f>Y59+Y60+Y61+Y62+Y63+Y64+Y65+Y66+Y67+Y68+Y69+Y70+Y71+Y72+Y73+Y74+Y75</f>
        <v>33870.091666666667</v>
      </c>
      <c r="Z58" s="119">
        <f t="shared" ref="Z58:AF58" si="46">Z59+Z60+Z61+Z62+Z63+Z64+Z65+Z66+Z67+Z68+Z69+Z70+Z71+Z72+Z73+Z74+Z75</f>
        <v>23772.97</v>
      </c>
      <c r="AA58" s="119">
        <f t="shared" si="46"/>
        <v>60799.026666666672</v>
      </c>
      <c r="AB58" s="119">
        <f t="shared" si="46"/>
        <v>118442.08833333336</v>
      </c>
      <c r="AC58" s="119">
        <f t="shared" si="46"/>
        <v>59221.044166666681</v>
      </c>
      <c r="AD58" s="119">
        <f t="shared" si="46"/>
        <v>44415.783125000002</v>
      </c>
      <c r="AE58" s="119">
        <f t="shared" si="46"/>
        <v>21295.390000000003</v>
      </c>
      <c r="AF58" s="119">
        <f t="shared" si="46"/>
        <v>243374.30562500004</v>
      </c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125"/>
      <c r="BE58" s="53"/>
      <c r="BF58" s="53"/>
      <c r="BG58" s="53"/>
      <c r="BH58" s="53"/>
      <c r="BI58" s="53"/>
      <c r="BJ58" s="53"/>
      <c r="BK58" s="94"/>
      <c r="BL58" s="123">
        <f t="shared" si="34"/>
        <v>243374.30562500004</v>
      </c>
      <c r="BM58" s="123">
        <f t="shared" si="35"/>
        <v>124932.21729166668</v>
      </c>
      <c r="BN58" s="123">
        <f t="shared" si="39"/>
        <v>118442.08833333336</v>
      </c>
      <c r="BO58" s="123">
        <f t="shared" si="40"/>
        <v>2920491.6675000004</v>
      </c>
    </row>
    <row r="59" spans="2:67" ht="15.75" customHeight="1" x14ac:dyDescent="0.25">
      <c r="B59" s="72" t="s">
        <v>173</v>
      </c>
      <c r="C59" s="95" t="s">
        <v>204</v>
      </c>
      <c r="D59" s="72" t="s">
        <v>174</v>
      </c>
      <c r="E59" s="72" t="s">
        <v>79</v>
      </c>
      <c r="F59" s="74">
        <v>50</v>
      </c>
      <c r="G59" s="72"/>
      <c r="H59" s="72"/>
      <c r="I59" s="72" t="s">
        <v>114</v>
      </c>
      <c r="J59" s="74" t="s">
        <v>92</v>
      </c>
      <c r="K59" s="74" t="s">
        <v>87</v>
      </c>
      <c r="L59" s="76">
        <v>21.09</v>
      </c>
      <c r="M59" s="76">
        <v>5.32</v>
      </c>
      <c r="N59" s="77">
        <v>17697</v>
      </c>
      <c r="O59" s="78">
        <f t="shared" ref="O59:O60" si="47">SUM(N59*M59)</f>
        <v>94148.040000000008</v>
      </c>
      <c r="P59" s="74"/>
      <c r="Q59" s="74"/>
      <c r="R59" s="74"/>
      <c r="S59" s="78"/>
      <c r="T59" s="78"/>
      <c r="U59" s="74">
        <v>2</v>
      </c>
      <c r="V59" s="78"/>
      <c r="W59" s="78"/>
      <c r="X59" s="78"/>
      <c r="Y59" s="118"/>
      <c r="Z59" s="118">
        <f>O59/18*T59</f>
        <v>0</v>
      </c>
      <c r="AA59" s="120">
        <f>O59/18*U59</f>
        <v>10460.893333333333</v>
      </c>
      <c r="AB59" s="120">
        <f>AA59</f>
        <v>10460.893333333333</v>
      </c>
      <c r="AC59" s="120">
        <f>AB59*50%</f>
        <v>5230.4466666666667</v>
      </c>
      <c r="AD59" s="120">
        <f t="shared" ref="AD59:AD60" si="48">(AB59+AC59)*25%</f>
        <v>3922.835</v>
      </c>
      <c r="AE59" s="120">
        <f t="shared" ref="AE59:AE75" si="49">SUM(AB59+AD59+AC59)*10%</f>
        <v>1961.4175</v>
      </c>
      <c r="AF59" s="120">
        <f t="shared" ref="AF59:AF60" si="50">SUM(AB59:AE59)</f>
        <v>21575.592499999999</v>
      </c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53"/>
      <c r="AW59" s="53"/>
      <c r="AX59" s="53"/>
      <c r="AY59" s="53"/>
      <c r="AZ59" s="53"/>
      <c r="BA59" s="45"/>
      <c r="BB59" s="45"/>
      <c r="BC59" s="45"/>
      <c r="BD59" s="125"/>
      <c r="BE59" s="45"/>
      <c r="BF59" s="45"/>
      <c r="BG59" s="45"/>
      <c r="BH59" s="45"/>
      <c r="BI59" s="45"/>
      <c r="BJ59" s="45"/>
      <c r="BK59" s="94"/>
      <c r="BL59" s="120">
        <f t="shared" si="34"/>
        <v>21575.592499999999</v>
      </c>
      <c r="BM59" s="120">
        <f t="shared" si="35"/>
        <v>11114.699166666665</v>
      </c>
      <c r="BN59" s="120">
        <f t="shared" si="39"/>
        <v>10460.893333333333</v>
      </c>
      <c r="BO59" s="120">
        <f t="shared" si="40"/>
        <v>258907.11</v>
      </c>
    </row>
    <row r="60" spans="2:67" ht="15.75" customHeight="1" x14ac:dyDescent="0.25">
      <c r="B60" s="72" t="s">
        <v>76</v>
      </c>
      <c r="C60" s="74" t="s">
        <v>170</v>
      </c>
      <c r="D60" s="72" t="s">
        <v>78</v>
      </c>
      <c r="E60" s="72" t="s">
        <v>79</v>
      </c>
      <c r="F60" s="74">
        <v>26</v>
      </c>
      <c r="G60" s="75">
        <v>42529</v>
      </c>
      <c r="H60" s="75">
        <v>45161</v>
      </c>
      <c r="I60" s="72" t="s">
        <v>80</v>
      </c>
      <c r="J60" s="74" t="s">
        <v>106</v>
      </c>
      <c r="K60" s="74" t="s">
        <v>81</v>
      </c>
      <c r="L60" s="76">
        <v>9.09</v>
      </c>
      <c r="M60" s="82">
        <v>4.79</v>
      </c>
      <c r="N60" s="77">
        <v>17697</v>
      </c>
      <c r="O60" s="78">
        <f t="shared" si="47"/>
        <v>84768.63</v>
      </c>
      <c r="P60" s="74"/>
      <c r="Q60" s="74"/>
      <c r="R60" s="74"/>
      <c r="S60" s="79"/>
      <c r="T60" s="79"/>
      <c r="U60" s="74">
        <v>2</v>
      </c>
      <c r="V60" s="78"/>
      <c r="W60" s="78"/>
      <c r="X60" s="78"/>
      <c r="Y60" s="118"/>
      <c r="Z60" s="118">
        <f t="shared" ref="Z60:Z75" si="51">O60/18*T60</f>
        <v>0</v>
      </c>
      <c r="AA60" s="120">
        <f t="shared" ref="AA60:AA66" si="52">O60/18*U60</f>
        <v>9418.7366666666676</v>
      </c>
      <c r="AB60" s="120">
        <f t="shared" ref="AB60:AB66" si="53">AA60</f>
        <v>9418.7366666666676</v>
      </c>
      <c r="AC60" s="120">
        <f t="shared" ref="AC60:AC75" si="54">AB60*50%</f>
        <v>4709.3683333333338</v>
      </c>
      <c r="AD60" s="120">
        <f t="shared" si="48"/>
        <v>3532.0262500000003</v>
      </c>
      <c r="AE60" s="120">
        <f t="shared" si="49"/>
        <v>1766.0131250000004</v>
      </c>
      <c r="AF60" s="120">
        <f t="shared" si="50"/>
        <v>19426.144375000003</v>
      </c>
      <c r="AG60" s="46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5"/>
      <c r="AW60" s="45"/>
      <c r="AX60" s="45"/>
      <c r="AY60" s="45"/>
      <c r="AZ60" s="47"/>
      <c r="BA60" s="49"/>
      <c r="BB60" s="49"/>
      <c r="BC60" s="45"/>
      <c r="BD60" s="125"/>
      <c r="BE60" s="45"/>
      <c r="BF60" s="45"/>
      <c r="BG60" s="45"/>
      <c r="BH60" s="45"/>
      <c r="BI60" s="45"/>
      <c r="BJ60" s="45"/>
      <c r="BK60" s="94"/>
      <c r="BL60" s="120">
        <f t="shared" si="34"/>
        <v>19426.144375000003</v>
      </c>
      <c r="BM60" s="120">
        <f t="shared" si="35"/>
        <v>10007.407708333336</v>
      </c>
      <c r="BN60" s="120">
        <f t="shared" si="39"/>
        <v>9418.7366666666676</v>
      </c>
      <c r="BO60" s="120">
        <f t="shared" si="40"/>
        <v>233113.73250000004</v>
      </c>
    </row>
    <row r="61" spans="2:67" s="117" customFormat="1" ht="15.75" customHeight="1" x14ac:dyDescent="0.25">
      <c r="B61" s="81" t="s">
        <v>102</v>
      </c>
      <c r="C61" s="114" t="s">
        <v>177</v>
      </c>
      <c r="D61" s="142" t="s">
        <v>104</v>
      </c>
      <c r="E61" s="81" t="s">
        <v>79</v>
      </c>
      <c r="F61" s="114">
        <v>53</v>
      </c>
      <c r="G61" s="143">
        <v>43335</v>
      </c>
      <c r="H61" s="143">
        <v>45161</v>
      </c>
      <c r="I61" s="81" t="s">
        <v>105</v>
      </c>
      <c r="J61" s="81" t="s">
        <v>106</v>
      </c>
      <c r="K61" s="114" t="s">
        <v>81</v>
      </c>
      <c r="L61" s="96">
        <v>14.05</v>
      </c>
      <c r="M61" s="96">
        <v>4.95</v>
      </c>
      <c r="N61" s="144">
        <v>17697</v>
      </c>
      <c r="O61" s="145">
        <f t="shared" ref="O61:O65" si="55">SUM(N61*M61)</f>
        <v>87600.150000000009</v>
      </c>
      <c r="P61" s="100"/>
      <c r="Q61" s="100"/>
      <c r="R61" s="115"/>
      <c r="S61" s="100"/>
      <c r="T61" s="100"/>
      <c r="U61" s="100">
        <v>1</v>
      </c>
      <c r="V61" s="100"/>
      <c r="W61" s="100"/>
      <c r="X61" s="100"/>
      <c r="Y61" s="146"/>
      <c r="Z61" s="146">
        <f t="shared" si="51"/>
        <v>0</v>
      </c>
      <c r="AA61" s="147">
        <f t="shared" si="52"/>
        <v>4866.6750000000002</v>
      </c>
      <c r="AB61" s="147">
        <f t="shared" si="53"/>
        <v>4866.6750000000002</v>
      </c>
      <c r="AC61" s="147">
        <f t="shared" si="54"/>
        <v>2433.3375000000001</v>
      </c>
      <c r="AD61" s="147">
        <f t="shared" si="11"/>
        <v>1825.0031250000002</v>
      </c>
      <c r="AE61" s="147"/>
      <c r="AF61" s="147">
        <f t="shared" si="33"/>
        <v>9125.015625</v>
      </c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0"/>
      <c r="AW61" s="150"/>
      <c r="AX61" s="150"/>
      <c r="AY61" s="150"/>
      <c r="AZ61" s="149"/>
      <c r="BA61" s="153"/>
      <c r="BB61" s="153"/>
      <c r="BC61" s="153">
        <v>1</v>
      </c>
      <c r="BD61" s="125">
        <f>(AB61+AC61+AD61)*30%</f>
        <v>2737.5046874999998</v>
      </c>
      <c r="BE61" s="153"/>
      <c r="BF61" s="153"/>
      <c r="BG61" s="153"/>
      <c r="BH61" s="153"/>
      <c r="BI61" s="153"/>
      <c r="BJ61" s="153"/>
      <c r="BK61" s="152"/>
      <c r="BL61" s="147">
        <f t="shared" si="34"/>
        <v>9125.015625</v>
      </c>
      <c r="BM61" s="147">
        <f t="shared" si="35"/>
        <v>4258.3406250000007</v>
      </c>
      <c r="BN61" s="147">
        <f t="shared" si="39"/>
        <v>4866.6749999999993</v>
      </c>
      <c r="BO61" s="147">
        <f t="shared" si="40"/>
        <v>109500.1875</v>
      </c>
    </row>
    <row r="62" spans="2:67" ht="15.75" customHeight="1" x14ac:dyDescent="0.25">
      <c r="B62" s="72" t="s">
        <v>126</v>
      </c>
      <c r="C62" s="74" t="s">
        <v>168</v>
      </c>
      <c r="D62" s="72" t="s">
        <v>127</v>
      </c>
      <c r="E62" s="72" t="s">
        <v>79</v>
      </c>
      <c r="F62" s="74">
        <v>55</v>
      </c>
      <c r="G62" s="72" t="s">
        <v>128</v>
      </c>
      <c r="H62" s="72" t="s">
        <v>97</v>
      </c>
      <c r="I62" s="72" t="s">
        <v>85</v>
      </c>
      <c r="J62" s="72" t="s">
        <v>86</v>
      </c>
      <c r="K62" s="74" t="s">
        <v>87</v>
      </c>
      <c r="L62" s="76">
        <v>32.03</v>
      </c>
      <c r="M62" s="76">
        <v>5.41</v>
      </c>
      <c r="N62" s="77">
        <v>17697</v>
      </c>
      <c r="O62" s="78">
        <f t="shared" si="55"/>
        <v>95740.77</v>
      </c>
      <c r="P62" s="74"/>
      <c r="Q62" s="74"/>
      <c r="R62" s="74"/>
      <c r="S62" s="79"/>
      <c r="T62" s="79"/>
      <c r="U62" s="74">
        <v>1</v>
      </c>
      <c r="V62" s="78"/>
      <c r="W62" s="78"/>
      <c r="X62" s="78"/>
      <c r="Y62" s="118"/>
      <c r="Z62" s="118">
        <f t="shared" si="51"/>
        <v>0</v>
      </c>
      <c r="AA62" s="120">
        <f t="shared" si="52"/>
        <v>5318.9316666666673</v>
      </c>
      <c r="AB62" s="120">
        <f t="shared" si="53"/>
        <v>5318.9316666666673</v>
      </c>
      <c r="AC62" s="120">
        <f t="shared" si="54"/>
        <v>2659.4658333333336</v>
      </c>
      <c r="AD62" s="120">
        <f t="shared" si="11"/>
        <v>1994.5993750000002</v>
      </c>
      <c r="AE62" s="120">
        <f t="shared" si="49"/>
        <v>997.29968750000012</v>
      </c>
      <c r="AF62" s="120">
        <f t="shared" ref="AF62:AF66" si="56">SUM(AB62:AE62)</f>
        <v>10970.296562500002</v>
      </c>
      <c r="AG62" s="46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53"/>
      <c r="AW62" s="53"/>
      <c r="AX62" s="53"/>
      <c r="AY62" s="53"/>
      <c r="AZ62" s="53"/>
      <c r="BA62" s="49"/>
      <c r="BB62" s="49"/>
      <c r="BC62" s="45"/>
      <c r="BD62" s="79"/>
      <c r="BE62" s="47"/>
      <c r="BF62" s="51"/>
      <c r="BG62" s="47"/>
      <c r="BH62" s="47"/>
      <c r="BI62" s="47"/>
      <c r="BJ62" s="47"/>
      <c r="BK62" s="94"/>
      <c r="BL62" s="120">
        <f t="shared" si="34"/>
        <v>10970.296562500002</v>
      </c>
      <c r="BM62" s="120">
        <f t="shared" si="35"/>
        <v>5651.3648958333333</v>
      </c>
      <c r="BN62" s="120">
        <f t="shared" si="39"/>
        <v>5318.9316666666682</v>
      </c>
      <c r="BO62" s="120">
        <f t="shared" si="40"/>
        <v>131643.55875000003</v>
      </c>
    </row>
    <row r="63" spans="2:67" ht="15.75" customHeight="1" x14ac:dyDescent="0.25">
      <c r="B63" s="72" t="s">
        <v>149</v>
      </c>
      <c r="C63" s="73" t="s">
        <v>205</v>
      </c>
      <c r="D63" s="72" t="s">
        <v>151</v>
      </c>
      <c r="E63" s="72" t="s">
        <v>79</v>
      </c>
      <c r="F63" s="74">
        <v>33</v>
      </c>
      <c r="G63" s="75">
        <v>42529</v>
      </c>
      <c r="H63" s="75">
        <v>44355</v>
      </c>
      <c r="I63" s="72" t="s">
        <v>152</v>
      </c>
      <c r="J63" s="72" t="s">
        <v>235</v>
      </c>
      <c r="K63" s="74" t="s">
        <v>148</v>
      </c>
      <c r="L63" s="76">
        <v>16.010000000000002</v>
      </c>
      <c r="M63" s="76">
        <v>4.99</v>
      </c>
      <c r="N63" s="77">
        <v>17697</v>
      </c>
      <c r="O63" s="78">
        <f t="shared" si="55"/>
        <v>88308.03</v>
      </c>
      <c r="P63" s="74"/>
      <c r="Q63" s="74"/>
      <c r="R63" s="74"/>
      <c r="S63" s="79"/>
      <c r="T63" s="79"/>
      <c r="U63" s="74">
        <v>1</v>
      </c>
      <c r="V63" s="78"/>
      <c r="W63" s="78"/>
      <c r="X63" s="78"/>
      <c r="Y63" s="118"/>
      <c r="Z63" s="118">
        <f t="shared" si="51"/>
        <v>0</v>
      </c>
      <c r="AA63" s="120">
        <f t="shared" si="52"/>
        <v>4906.001666666667</v>
      </c>
      <c r="AB63" s="120">
        <f t="shared" si="53"/>
        <v>4906.001666666667</v>
      </c>
      <c r="AC63" s="120">
        <f t="shared" si="54"/>
        <v>2453.0008333333335</v>
      </c>
      <c r="AD63" s="120">
        <f t="shared" si="11"/>
        <v>1839.7506250000001</v>
      </c>
      <c r="AE63" s="120">
        <f t="shared" si="49"/>
        <v>919.87531250000018</v>
      </c>
      <c r="AF63" s="120">
        <f t="shared" si="56"/>
        <v>10118.628437500001</v>
      </c>
      <c r="AG63" s="46"/>
      <c r="AH63" s="47"/>
      <c r="AI63" s="47"/>
      <c r="AJ63" s="47"/>
      <c r="AK63" s="47"/>
      <c r="AL63" s="47"/>
      <c r="AM63" s="47"/>
      <c r="AN63" s="47"/>
      <c r="AO63" s="47"/>
      <c r="AP63" s="51"/>
      <c r="AQ63" s="47"/>
      <c r="AR63" s="51"/>
      <c r="AS63" s="47"/>
      <c r="AT63" s="51"/>
      <c r="AU63" s="47"/>
      <c r="AV63" s="45"/>
      <c r="AW63" s="45"/>
      <c r="AX63" s="48"/>
      <c r="AY63" s="45"/>
      <c r="AZ63" s="47"/>
      <c r="BA63" s="49"/>
      <c r="BB63" s="49"/>
      <c r="BC63" s="45"/>
      <c r="BD63" s="79"/>
      <c r="BE63" s="47"/>
      <c r="BF63" s="47"/>
      <c r="BG63" s="74"/>
      <c r="BH63" s="74"/>
      <c r="BI63" s="45"/>
      <c r="BJ63" s="45"/>
      <c r="BK63" s="78"/>
      <c r="BL63" s="120">
        <f t="shared" si="34"/>
        <v>10118.628437500001</v>
      </c>
      <c r="BM63" s="120">
        <f t="shared" si="35"/>
        <v>5212.6267708333344</v>
      </c>
      <c r="BN63" s="120">
        <f t="shared" si="39"/>
        <v>4906.001666666667</v>
      </c>
      <c r="BO63" s="120">
        <f t="shared" si="40"/>
        <v>121423.54125000001</v>
      </c>
    </row>
    <row r="64" spans="2:67" ht="15.75" customHeight="1" x14ac:dyDescent="0.25">
      <c r="B64" s="80" t="s">
        <v>94</v>
      </c>
      <c r="C64" s="74" t="s">
        <v>212</v>
      </c>
      <c r="D64" s="72" t="s">
        <v>96</v>
      </c>
      <c r="E64" s="72" t="s">
        <v>79</v>
      </c>
      <c r="F64" s="74">
        <v>56</v>
      </c>
      <c r="G64" s="75">
        <v>43458</v>
      </c>
      <c r="H64" s="72" t="s">
        <v>97</v>
      </c>
      <c r="I64" s="72" t="s">
        <v>98</v>
      </c>
      <c r="J64" s="72" t="s">
        <v>86</v>
      </c>
      <c r="K64" s="74" t="s">
        <v>87</v>
      </c>
      <c r="L64" s="76">
        <v>22.09</v>
      </c>
      <c r="M64" s="76">
        <v>5.32</v>
      </c>
      <c r="N64" s="77">
        <v>17697</v>
      </c>
      <c r="O64" s="78">
        <f t="shared" ref="O64" si="57">SUM(N64*M64)</f>
        <v>94148.040000000008</v>
      </c>
      <c r="P64" s="74"/>
      <c r="Q64" s="74"/>
      <c r="R64" s="74"/>
      <c r="S64" s="79"/>
      <c r="T64" s="79"/>
      <c r="U64" s="74">
        <v>2</v>
      </c>
      <c r="V64" s="78"/>
      <c r="W64" s="78"/>
      <c r="X64" s="78"/>
      <c r="Y64" s="118"/>
      <c r="Z64" s="118">
        <f t="shared" si="51"/>
        <v>0</v>
      </c>
      <c r="AA64" s="120">
        <f t="shared" si="52"/>
        <v>10460.893333333333</v>
      </c>
      <c r="AB64" s="120">
        <f t="shared" si="53"/>
        <v>10460.893333333333</v>
      </c>
      <c r="AC64" s="120">
        <f t="shared" si="54"/>
        <v>5230.4466666666667</v>
      </c>
      <c r="AD64" s="120">
        <f t="shared" si="11"/>
        <v>3922.835</v>
      </c>
      <c r="AE64" s="120">
        <f t="shared" si="49"/>
        <v>1961.4175</v>
      </c>
      <c r="AF64" s="120">
        <f t="shared" si="56"/>
        <v>21575.592499999999</v>
      </c>
      <c r="AG64" s="46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5"/>
      <c r="AW64" s="45"/>
      <c r="AX64" s="48"/>
      <c r="AY64" s="45"/>
      <c r="AZ64" s="47"/>
      <c r="BA64" s="49"/>
      <c r="BB64" s="49"/>
      <c r="BC64" s="45"/>
      <c r="BD64" s="79"/>
      <c r="BE64" s="47"/>
      <c r="BF64" s="47"/>
      <c r="BG64" s="79"/>
      <c r="BH64" s="79"/>
      <c r="BI64" s="47"/>
      <c r="BJ64" s="47"/>
      <c r="BK64" s="78"/>
      <c r="BL64" s="120">
        <f t="shared" si="34"/>
        <v>21575.592499999999</v>
      </c>
      <c r="BM64" s="120">
        <f t="shared" si="35"/>
        <v>11114.699166666665</v>
      </c>
      <c r="BN64" s="120">
        <f t="shared" si="39"/>
        <v>10460.893333333333</v>
      </c>
      <c r="BO64" s="120">
        <f t="shared" si="40"/>
        <v>258907.11</v>
      </c>
    </row>
    <row r="65" spans="1:134" ht="15.75" customHeight="1" x14ac:dyDescent="0.25">
      <c r="B65" s="72" t="s">
        <v>107</v>
      </c>
      <c r="C65" s="74" t="s">
        <v>232</v>
      </c>
      <c r="D65" s="85" t="s">
        <v>109</v>
      </c>
      <c r="E65" s="72" t="s">
        <v>79</v>
      </c>
      <c r="F65" s="74">
        <v>21</v>
      </c>
      <c r="G65" s="75"/>
      <c r="H65" s="72"/>
      <c r="I65" s="72" t="s">
        <v>110</v>
      </c>
      <c r="J65" s="72" t="s">
        <v>106</v>
      </c>
      <c r="K65" s="74" t="s">
        <v>87</v>
      </c>
      <c r="L65" s="76">
        <v>21.08</v>
      </c>
      <c r="M65" s="82">
        <v>5.32</v>
      </c>
      <c r="N65" s="77">
        <v>17697</v>
      </c>
      <c r="O65" s="78">
        <f t="shared" si="55"/>
        <v>94148.040000000008</v>
      </c>
      <c r="P65" s="74"/>
      <c r="Q65" s="88"/>
      <c r="R65" s="74"/>
      <c r="S65" s="79"/>
      <c r="T65" s="79"/>
      <c r="U65" s="74">
        <v>2</v>
      </c>
      <c r="V65" s="78"/>
      <c r="W65" s="78"/>
      <c r="X65" s="78"/>
      <c r="Y65" s="118"/>
      <c r="Z65" s="118">
        <f t="shared" si="51"/>
        <v>0</v>
      </c>
      <c r="AA65" s="120">
        <f t="shared" si="52"/>
        <v>10460.893333333333</v>
      </c>
      <c r="AB65" s="120">
        <f t="shared" si="53"/>
        <v>10460.893333333333</v>
      </c>
      <c r="AC65" s="120">
        <f t="shared" si="54"/>
        <v>5230.4466666666667</v>
      </c>
      <c r="AD65" s="120">
        <f t="shared" si="11"/>
        <v>3922.835</v>
      </c>
      <c r="AE65" s="120">
        <f t="shared" si="49"/>
        <v>1961.4175</v>
      </c>
      <c r="AF65" s="120">
        <f t="shared" ref="AF65" si="58">SUM(AB65:AE65)</f>
        <v>21575.592499999999</v>
      </c>
      <c r="AG65" s="46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5"/>
      <c r="AW65" s="45"/>
      <c r="AX65" s="50"/>
      <c r="AY65" s="45"/>
      <c r="AZ65" s="47"/>
      <c r="BA65" s="49"/>
      <c r="BB65" s="49"/>
      <c r="BC65" s="45"/>
      <c r="BD65" s="79"/>
      <c r="BE65" s="47"/>
      <c r="BF65" s="47"/>
      <c r="BG65" s="45"/>
      <c r="BH65" s="45"/>
      <c r="BI65" s="45"/>
      <c r="BJ65" s="45"/>
      <c r="BK65" s="94"/>
      <c r="BL65" s="120">
        <f t="shared" si="34"/>
        <v>21575.592499999999</v>
      </c>
      <c r="BM65" s="120">
        <f t="shared" si="35"/>
        <v>11114.699166666665</v>
      </c>
      <c r="BN65" s="120">
        <f t="shared" si="39"/>
        <v>10460.893333333333</v>
      </c>
      <c r="BO65" s="120">
        <f t="shared" si="40"/>
        <v>258907.11</v>
      </c>
    </row>
    <row r="66" spans="1:134" ht="15.75" customHeight="1" x14ac:dyDescent="0.25">
      <c r="B66" s="72" t="s">
        <v>149</v>
      </c>
      <c r="C66" s="73" t="s">
        <v>218</v>
      </c>
      <c r="D66" s="72" t="s">
        <v>151</v>
      </c>
      <c r="E66" s="72" t="s">
        <v>79</v>
      </c>
      <c r="F66" s="74">
        <v>33</v>
      </c>
      <c r="G66" s="75">
        <v>42529</v>
      </c>
      <c r="H66" s="75">
        <v>44355</v>
      </c>
      <c r="I66" s="72" t="s">
        <v>152</v>
      </c>
      <c r="J66" s="72" t="s">
        <v>235</v>
      </c>
      <c r="K66" s="74" t="s">
        <v>148</v>
      </c>
      <c r="L66" s="76">
        <v>16.010000000000002</v>
      </c>
      <c r="M66" s="76">
        <v>4.99</v>
      </c>
      <c r="N66" s="77">
        <v>17697</v>
      </c>
      <c r="O66" s="78">
        <f t="shared" ref="O66" si="59">SUM(N66*M66)</f>
        <v>88308.03</v>
      </c>
      <c r="P66" s="74"/>
      <c r="Q66" s="74"/>
      <c r="R66" s="74"/>
      <c r="S66" s="78"/>
      <c r="T66" s="78"/>
      <c r="U66" s="74">
        <v>1</v>
      </c>
      <c r="V66" s="78"/>
      <c r="W66" s="78"/>
      <c r="X66" s="78"/>
      <c r="Y66" s="118"/>
      <c r="Z66" s="118">
        <f t="shared" si="51"/>
        <v>0</v>
      </c>
      <c r="AA66" s="120">
        <f t="shared" si="52"/>
        <v>4906.001666666667</v>
      </c>
      <c r="AB66" s="120">
        <f t="shared" si="53"/>
        <v>4906.001666666667</v>
      </c>
      <c r="AC66" s="120">
        <f t="shared" si="54"/>
        <v>2453.0008333333335</v>
      </c>
      <c r="AD66" s="120">
        <f t="shared" si="11"/>
        <v>1839.7506250000001</v>
      </c>
      <c r="AE66" s="120">
        <f t="shared" si="49"/>
        <v>919.87531250000018</v>
      </c>
      <c r="AF66" s="120">
        <f t="shared" si="56"/>
        <v>10118.628437500001</v>
      </c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5"/>
      <c r="AW66" s="45"/>
      <c r="AX66" s="45"/>
      <c r="AY66" s="45"/>
      <c r="AZ66" s="47"/>
      <c r="BA66" s="45"/>
      <c r="BB66" s="45"/>
      <c r="BC66" s="45"/>
      <c r="BD66" s="74"/>
      <c r="BE66" s="45"/>
      <c r="BF66" s="45"/>
      <c r="BG66" s="45"/>
      <c r="BH66" s="45"/>
      <c r="BI66" s="45"/>
      <c r="BJ66" s="45"/>
      <c r="BK66" s="94"/>
      <c r="BL66" s="120">
        <f t="shared" si="34"/>
        <v>10118.628437500001</v>
      </c>
      <c r="BM66" s="120">
        <f t="shared" si="35"/>
        <v>5212.6267708333344</v>
      </c>
      <c r="BN66" s="120">
        <f t="shared" si="39"/>
        <v>4906.001666666667</v>
      </c>
      <c r="BO66" s="120">
        <f t="shared" si="40"/>
        <v>121423.54125000001</v>
      </c>
    </row>
    <row r="67" spans="1:134" ht="15.75" customHeight="1" x14ac:dyDescent="0.25">
      <c r="B67" s="83" t="s">
        <v>178</v>
      </c>
      <c r="C67" s="74" t="s">
        <v>179</v>
      </c>
      <c r="D67" s="72" t="s">
        <v>125</v>
      </c>
      <c r="E67" s="72" t="s">
        <v>79</v>
      </c>
      <c r="F67" s="74">
        <v>48</v>
      </c>
      <c r="G67" s="75">
        <v>43335</v>
      </c>
      <c r="H67" s="75">
        <v>45161</v>
      </c>
      <c r="I67" s="72" t="s">
        <v>101</v>
      </c>
      <c r="J67" s="72" t="s">
        <v>92</v>
      </c>
      <c r="K67" s="74" t="s">
        <v>87</v>
      </c>
      <c r="L67" s="84">
        <v>17.05</v>
      </c>
      <c r="M67" s="76">
        <v>5.24</v>
      </c>
      <c r="N67" s="77">
        <v>17697</v>
      </c>
      <c r="O67" s="78">
        <f t="shared" ref="O67:O75" si="60">SUM(N67*M67)</f>
        <v>92732.28</v>
      </c>
      <c r="P67" s="74"/>
      <c r="Q67" s="74"/>
      <c r="R67" s="74"/>
      <c r="S67" s="78">
        <v>1</v>
      </c>
      <c r="T67" s="78"/>
      <c r="U67" s="74"/>
      <c r="V67" s="78"/>
      <c r="W67" s="78"/>
      <c r="X67" s="78"/>
      <c r="Y67" s="118">
        <f>O67/18*S67</f>
        <v>5151.7933333333331</v>
      </c>
      <c r="Z67" s="118">
        <f t="shared" si="51"/>
        <v>0</v>
      </c>
      <c r="AA67" s="78"/>
      <c r="AB67" s="120">
        <f>Y67</f>
        <v>5151.7933333333331</v>
      </c>
      <c r="AC67" s="120">
        <f t="shared" si="54"/>
        <v>2575.8966666666665</v>
      </c>
      <c r="AD67" s="120">
        <f t="shared" si="11"/>
        <v>1931.9224999999999</v>
      </c>
      <c r="AE67" s="120">
        <f t="shared" si="49"/>
        <v>965.96124999999995</v>
      </c>
      <c r="AF67" s="120">
        <f t="shared" si="33"/>
        <v>10625.57375</v>
      </c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5"/>
      <c r="AW67" s="45"/>
      <c r="AX67" s="45"/>
      <c r="AY67" s="45"/>
      <c r="AZ67" s="47"/>
      <c r="BA67" s="45"/>
      <c r="BB67" s="45"/>
      <c r="BC67" s="45"/>
      <c r="BD67" s="74"/>
      <c r="BE67" s="45"/>
      <c r="BF67" s="45"/>
      <c r="BG67" s="45"/>
      <c r="BH67" s="45"/>
      <c r="BI67" s="45"/>
      <c r="BJ67" s="45"/>
      <c r="BK67" s="94"/>
      <c r="BL67" s="120">
        <f t="shared" si="34"/>
        <v>10625.57375</v>
      </c>
      <c r="BM67" s="120">
        <f t="shared" si="35"/>
        <v>5473.7804166666665</v>
      </c>
      <c r="BN67" s="120">
        <f t="shared" si="39"/>
        <v>5151.7933333333331</v>
      </c>
      <c r="BO67" s="120">
        <f t="shared" si="40"/>
        <v>127506.88499999999</v>
      </c>
    </row>
    <row r="68" spans="1:134" ht="15.75" customHeight="1" x14ac:dyDescent="0.25">
      <c r="B68" s="83" t="s">
        <v>201</v>
      </c>
      <c r="C68" s="74" t="s">
        <v>179</v>
      </c>
      <c r="D68" s="72" t="s">
        <v>199</v>
      </c>
      <c r="E68" s="72" t="s">
        <v>79</v>
      </c>
      <c r="F68" s="74">
        <v>14</v>
      </c>
      <c r="G68" s="75">
        <v>42823</v>
      </c>
      <c r="H68" s="75">
        <v>44740</v>
      </c>
      <c r="I68" s="72" t="s">
        <v>101</v>
      </c>
      <c r="J68" s="72" t="s">
        <v>156</v>
      </c>
      <c r="K68" s="74" t="s">
        <v>157</v>
      </c>
      <c r="L68" s="76">
        <v>9.01</v>
      </c>
      <c r="M68" s="76">
        <v>4.33</v>
      </c>
      <c r="N68" s="77">
        <v>17697</v>
      </c>
      <c r="O68" s="78">
        <f t="shared" si="60"/>
        <v>76628.009999999995</v>
      </c>
      <c r="P68" s="79"/>
      <c r="Q68" s="74"/>
      <c r="R68" s="74"/>
      <c r="S68" s="79">
        <v>1</v>
      </c>
      <c r="T68" s="79"/>
      <c r="U68" s="74"/>
      <c r="V68" s="78"/>
      <c r="W68" s="78"/>
      <c r="X68" s="78"/>
      <c r="Y68" s="118">
        <f t="shared" ref="Y68:Y75" si="61">O68/18*S68</f>
        <v>4257.1116666666667</v>
      </c>
      <c r="Z68" s="118">
        <f t="shared" si="51"/>
        <v>0</v>
      </c>
      <c r="AA68" s="79"/>
      <c r="AB68" s="120">
        <f t="shared" ref="AB68:AB75" si="62">Y68</f>
        <v>4257.1116666666667</v>
      </c>
      <c r="AC68" s="120">
        <f t="shared" si="54"/>
        <v>2128.5558333333333</v>
      </c>
      <c r="AD68" s="120">
        <f t="shared" si="11"/>
        <v>1596.4168749999999</v>
      </c>
      <c r="AE68" s="120">
        <f t="shared" si="49"/>
        <v>798.20843750000006</v>
      </c>
      <c r="AF68" s="120">
        <f t="shared" si="33"/>
        <v>8780.2928124999999</v>
      </c>
      <c r="AG68" s="46"/>
      <c r="AH68" s="50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5"/>
      <c r="AW68" s="45"/>
      <c r="AX68" s="48"/>
      <c r="AY68" s="45"/>
      <c r="AZ68" s="47"/>
      <c r="BA68" s="49"/>
      <c r="BB68" s="49"/>
      <c r="BC68" s="45"/>
      <c r="BD68" s="79"/>
      <c r="BE68" s="47"/>
      <c r="BF68" s="47"/>
      <c r="BG68" s="47"/>
      <c r="BH68" s="47"/>
      <c r="BI68" s="47"/>
      <c r="BJ68" s="47"/>
      <c r="BK68" s="94"/>
      <c r="BL68" s="120">
        <f t="shared" si="34"/>
        <v>8780.2928124999999</v>
      </c>
      <c r="BM68" s="120">
        <f t="shared" si="35"/>
        <v>4523.1811458333332</v>
      </c>
      <c r="BN68" s="120">
        <f t="shared" si="39"/>
        <v>4257.1116666666667</v>
      </c>
      <c r="BO68" s="120">
        <f t="shared" si="40"/>
        <v>105363.51375</v>
      </c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</row>
    <row r="69" spans="1:134" ht="15.75" customHeight="1" x14ac:dyDescent="0.25">
      <c r="B69" s="83" t="s">
        <v>201</v>
      </c>
      <c r="C69" s="74" t="s">
        <v>200</v>
      </c>
      <c r="D69" s="72" t="s">
        <v>199</v>
      </c>
      <c r="E69" s="72" t="s">
        <v>79</v>
      </c>
      <c r="F69" s="74">
        <v>14</v>
      </c>
      <c r="G69" s="75">
        <v>42823</v>
      </c>
      <c r="H69" s="75">
        <v>44740</v>
      </c>
      <c r="I69" s="72" t="s">
        <v>101</v>
      </c>
      <c r="J69" s="72" t="s">
        <v>156</v>
      </c>
      <c r="K69" s="74" t="s">
        <v>157</v>
      </c>
      <c r="L69" s="76">
        <v>9.01</v>
      </c>
      <c r="M69" s="76">
        <v>4.33</v>
      </c>
      <c r="N69" s="77">
        <v>17697</v>
      </c>
      <c r="O69" s="78">
        <f t="shared" si="60"/>
        <v>76628.009999999995</v>
      </c>
      <c r="P69" s="79"/>
      <c r="Q69" s="74"/>
      <c r="R69" s="74"/>
      <c r="S69" s="79">
        <v>1</v>
      </c>
      <c r="T69" s="79"/>
      <c r="U69" s="74"/>
      <c r="V69" s="78"/>
      <c r="W69" s="78"/>
      <c r="X69" s="78"/>
      <c r="Y69" s="118">
        <f t="shared" si="61"/>
        <v>4257.1116666666667</v>
      </c>
      <c r="Z69" s="118">
        <f t="shared" si="51"/>
        <v>0</v>
      </c>
      <c r="AA69" s="79"/>
      <c r="AB69" s="120">
        <f t="shared" si="62"/>
        <v>4257.1116666666667</v>
      </c>
      <c r="AC69" s="120">
        <f t="shared" si="54"/>
        <v>2128.5558333333333</v>
      </c>
      <c r="AD69" s="120">
        <f t="shared" si="11"/>
        <v>1596.4168749999999</v>
      </c>
      <c r="AE69" s="120">
        <f t="shared" si="49"/>
        <v>798.20843750000006</v>
      </c>
      <c r="AF69" s="120">
        <f t="shared" si="33"/>
        <v>8780.2928124999999</v>
      </c>
      <c r="AG69" s="46"/>
      <c r="AH69" s="50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5"/>
      <c r="AW69" s="52"/>
      <c r="AX69" s="45"/>
      <c r="AY69" s="45"/>
      <c r="AZ69" s="47"/>
      <c r="BA69" s="49"/>
      <c r="BB69" s="49"/>
      <c r="BC69" s="45"/>
      <c r="BD69" s="79"/>
      <c r="BE69" s="47"/>
      <c r="BF69" s="47"/>
      <c r="BG69" s="47"/>
      <c r="BH69" s="47"/>
      <c r="BI69" s="47"/>
      <c r="BJ69" s="47"/>
      <c r="BK69" s="94"/>
      <c r="BL69" s="120">
        <f t="shared" si="34"/>
        <v>8780.2928124999999</v>
      </c>
      <c r="BM69" s="120">
        <f t="shared" si="35"/>
        <v>4523.1811458333332</v>
      </c>
      <c r="BN69" s="120">
        <f t="shared" si="39"/>
        <v>4257.1116666666667</v>
      </c>
      <c r="BO69" s="120">
        <f t="shared" si="40"/>
        <v>105363.51375</v>
      </c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</row>
    <row r="70" spans="1:134" ht="15.75" customHeight="1" x14ac:dyDescent="0.25">
      <c r="B70" s="72" t="s">
        <v>115</v>
      </c>
      <c r="C70" s="74" t="s">
        <v>179</v>
      </c>
      <c r="D70" s="72" t="s">
        <v>117</v>
      </c>
      <c r="E70" s="72" t="s">
        <v>118</v>
      </c>
      <c r="F70" s="74">
        <v>32</v>
      </c>
      <c r="G70" s="75">
        <v>42529</v>
      </c>
      <c r="H70" s="75">
        <v>44355</v>
      </c>
      <c r="I70" s="72" t="s">
        <v>119</v>
      </c>
      <c r="J70" s="72" t="s">
        <v>106</v>
      </c>
      <c r="K70" s="74" t="s">
        <v>239</v>
      </c>
      <c r="L70" s="76">
        <v>37.01</v>
      </c>
      <c r="M70" s="76">
        <v>4.29</v>
      </c>
      <c r="N70" s="77">
        <v>17697</v>
      </c>
      <c r="O70" s="78">
        <f t="shared" si="60"/>
        <v>75920.13</v>
      </c>
      <c r="P70" s="74"/>
      <c r="Q70" s="88"/>
      <c r="R70" s="74"/>
      <c r="S70" s="78"/>
      <c r="T70" s="78">
        <v>2</v>
      </c>
      <c r="U70" s="74"/>
      <c r="V70" s="78"/>
      <c r="W70" s="78"/>
      <c r="X70" s="78"/>
      <c r="Y70" s="118">
        <f t="shared" si="61"/>
        <v>0</v>
      </c>
      <c r="Z70" s="118">
        <f t="shared" si="51"/>
        <v>8435.57</v>
      </c>
      <c r="AA70" s="78"/>
      <c r="AB70" s="120">
        <f>Z70</f>
        <v>8435.57</v>
      </c>
      <c r="AC70" s="120">
        <f t="shared" si="54"/>
        <v>4217.7849999999999</v>
      </c>
      <c r="AD70" s="120">
        <f t="shared" si="11"/>
        <v>3163.3387499999999</v>
      </c>
      <c r="AE70" s="120">
        <f t="shared" si="49"/>
        <v>1581.6693749999999</v>
      </c>
      <c r="AF70" s="120">
        <f t="shared" si="33"/>
        <v>17398.363125</v>
      </c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5"/>
      <c r="AW70" s="52"/>
      <c r="AX70" s="45"/>
      <c r="AY70" s="45"/>
      <c r="AZ70" s="47"/>
      <c r="BA70" s="45"/>
      <c r="BB70" s="45"/>
      <c r="BC70" s="45"/>
      <c r="BD70" s="74"/>
      <c r="BE70" s="45"/>
      <c r="BF70" s="45"/>
      <c r="BG70" s="45"/>
      <c r="BH70" s="45"/>
      <c r="BI70" s="45"/>
      <c r="BJ70" s="45"/>
      <c r="BK70" s="94"/>
      <c r="BL70" s="120">
        <f t="shared" si="34"/>
        <v>17398.363125</v>
      </c>
      <c r="BM70" s="120">
        <f t="shared" si="35"/>
        <v>8962.7931250000001</v>
      </c>
      <c r="BN70" s="120">
        <f t="shared" si="39"/>
        <v>8435.57</v>
      </c>
      <c r="BO70" s="120">
        <f t="shared" si="40"/>
        <v>208780.35749999998</v>
      </c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</row>
    <row r="71" spans="1:134" s="110" customFormat="1" ht="15.75" customHeight="1" x14ac:dyDescent="0.25">
      <c r="A71" s="13"/>
      <c r="B71" s="83" t="s">
        <v>99</v>
      </c>
      <c r="C71" s="74" t="s">
        <v>200</v>
      </c>
      <c r="D71" s="156" t="s">
        <v>100</v>
      </c>
      <c r="E71" s="72" t="s">
        <v>79</v>
      </c>
      <c r="F71" s="74">
        <v>48</v>
      </c>
      <c r="G71" s="75">
        <v>43335</v>
      </c>
      <c r="H71" s="75">
        <v>45161</v>
      </c>
      <c r="I71" s="72" t="s">
        <v>101</v>
      </c>
      <c r="J71" s="72" t="s">
        <v>92</v>
      </c>
      <c r="K71" s="74" t="s">
        <v>87</v>
      </c>
      <c r="L71" s="84">
        <v>17.05</v>
      </c>
      <c r="M71" s="76">
        <v>5.24</v>
      </c>
      <c r="N71" s="77">
        <v>17697</v>
      </c>
      <c r="O71" s="78">
        <f t="shared" si="60"/>
        <v>92732.28</v>
      </c>
      <c r="P71" s="74"/>
      <c r="Q71" s="74"/>
      <c r="R71" s="74"/>
      <c r="S71" s="79">
        <v>1</v>
      </c>
      <c r="T71" s="79"/>
      <c r="U71" s="74"/>
      <c r="V71" s="78"/>
      <c r="W71" s="78"/>
      <c r="X71" s="78"/>
      <c r="Y71" s="121">
        <f t="shared" si="61"/>
        <v>5151.7933333333331</v>
      </c>
      <c r="Z71" s="121">
        <f t="shared" si="51"/>
        <v>0</v>
      </c>
      <c r="AA71" s="79"/>
      <c r="AB71" s="120">
        <f t="shared" si="62"/>
        <v>5151.7933333333331</v>
      </c>
      <c r="AC71" s="120">
        <f t="shared" si="54"/>
        <v>2575.8966666666665</v>
      </c>
      <c r="AD71" s="120">
        <f t="shared" si="11"/>
        <v>1931.9224999999999</v>
      </c>
      <c r="AE71" s="120">
        <f t="shared" si="49"/>
        <v>965.96124999999995</v>
      </c>
      <c r="AF71" s="120">
        <f t="shared" ref="AF71" si="63">SUM(AB71:AE71)</f>
        <v>10625.57375</v>
      </c>
      <c r="AG71" s="46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5"/>
      <c r="AW71" s="45"/>
      <c r="AX71" s="45"/>
      <c r="AY71" s="45"/>
      <c r="AZ71" s="47"/>
      <c r="BA71" s="49"/>
      <c r="BB71" s="49"/>
      <c r="BC71" s="45"/>
      <c r="BD71" s="79"/>
      <c r="BE71" s="47"/>
      <c r="BF71" s="51"/>
      <c r="BG71" s="47"/>
      <c r="BH71" s="47"/>
      <c r="BI71" s="47"/>
      <c r="BJ71" s="47"/>
      <c r="BK71" s="94"/>
      <c r="BL71" s="120">
        <f t="shared" si="34"/>
        <v>10625.57375</v>
      </c>
      <c r="BM71" s="120">
        <f t="shared" si="35"/>
        <v>5473.7804166666665</v>
      </c>
      <c r="BN71" s="120">
        <f t="shared" si="39"/>
        <v>5151.7933333333331</v>
      </c>
      <c r="BO71" s="120">
        <f t="shared" si="40"/>
        <v>127506.88499999999</v>
      </c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</row>
    <row r="72" spans="1:134" ht="15.75" customHeight="1" x14ac:dyDescent="0.25">
      <c r="A72" s="13"/>
      <c r="B72" s="83" t="s">
        <v>124</v>
      </c>
      <c r="C72" s="74" t="s">
        <v>179</v>
      </c>
      <c r="D72" s="156" t="s">
        <v>125</v>
      </c>
      <c r="E72" s="72" t="s">
        <v>79</v>
      </c>
      <c r="F72" s="74">
        <v>51</v>
      </c>
      <c r="G72" s="75">
        <v>43335</v>
      </c>
      <c r="H72" s="75">
        <v>45161</v>
      </c>
      <c r="I72" s="72" t="s">
        <v>101</v>
      </c>
      <c r="J72" s="72" t="s">
        <v>92</v>
      </c>
      <c r="K72" s="74" t="s">
        <v>87</v>
      </c>
      <c r="L72" s="84">
        <v>29.11</v>
      </c>
      <c r="M72" s="76">
        <v>5.41</v>
      </c>
      <c r="N72" s="77">
        <v>17697</v>
      </c>
      <c r="O72" s="78">
        <f t="shared" si="60"/>
        <v>95740.77</v>
      </c>
      <c r="P72" s="74"/>
      <c r="Q72" s="74"/>
      <c r="R72" s="74"/>
      <c r="S72" s="79">
        <v>1</v>
      </c>
      <c r="T72" s="78"/>
      <c r="U72" s="74"/>
      <c r="V72" s="78"/>
      <c r="W72" s="78"/>
      <c r="X72" s="78"/>
      <c r="Y72" s="121">
        <f t="shared" si="61"/>
        <v>5318.9316666666673</v>
      </c>
      <c r="Z72" s="121">
        <f t="shared" si="51"/>
        <v>0</v>
      </c>
      <c r="AA72" s="79"/>
      <c r="AB72" s="120">
        <f t="shared" si="62"/>
        <v>5318.9316666666673</v>
      </c>
      <c r="AC72" s="120">
        <f t="shared" si="54"/>
        <v>2659.4658333333336</v>
      </c>
      <c r="AD72" s="120">
        <f t="shared" si="11"/>
        <v>1994.5993750000002</v>
      </c>
      <c r="AE72" s="120">
        <f t="shared" si="49"/>
        <v>997.29968750000012</v>
      </c>
      <c r="AF72" s="120">
        <f t="shared" si="33"/>
        <v>10970.296562500002</v>
      </c>
      <c r="AG72" s="46"/>
      <c r="AH72" s="50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51"/>
      <c r="AW72" s="50"/>
      <c r="AX72" s="48"/>
      <c r="AY72" s="45"/>
      <c r="AZ72" s="47"/>
      <c r="BA72" s="49"/>
      <c r="BB72" s="49"/>
      <c r="BC72" s="45"/>
      <c r="BD72" s="79"/>
      <c r="BE72" s="47"/>
      <c r="BF72" s="47"/>
      <c r="BG72" s="47"/>
      <c r="BH72" s="47"/>
      <c r="BI72" s="47"/>
      <c r="BJ72" s="47"/>
      <c r="BK72" s="94"/>
      <c r="BL72" s="120">
        <f t="shared" si="34"/>
        <v>10970.296562500002</v>
      </c>
      <c r="BM72" s="120">
        <f t="shared" si="35"/>
        <v>5651.3648958333333</v>
      </c>
      <c r="BN72" s="120">
        <f t="shared" si="39"/>
        <v>5318.9316666666682</v>
      </c>
      <c r="BO72" s="120">
        <f t="shared" si="40"/>
        <v>131643.55875000003</v>
      </c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</row>
    <row r="73" spans="1:134" ht="15.75" customHeight="1" x14ac:dyDescent="0.25">
      <c r="A73" s="13"/>
      <c r="B73" s="72" t="s">
        <v>129</v>
      </c>
      <c r="C73" s="74" t="s">
        <v>200</v>
      </c>
      <c r="D73" s="72" t="s">
        <v>131</v>
      </c>
      <c r="E73" s="72" t="s">
        <v>79</v>
      </c>
      <c r="F73" s="74">
        <v>19</v>
      </c>
      <c r="G73" s="72"/>
      <c r="H73" s="72"/>
      <c r="I73" s="72" t="s">
        <v>101</v>
      </c>
      <c r="J73" s="72" t="s">
        <v>106</v>
      </c>
      <c r="K73" s="74" t="s">
        <v>81</v>
      </c>
      <c r="L73" s="76">
        <v>14.09</v>
      </c>
      <c r="M73" s="76">
        <v>4.95</v>
      </c>
      <c r="N73" s="77">
        <v>17697</v>
      </c>
      <c r="O73" s="78">
        <f t="shared" si="60"/>
        <v>87600.150000000009</v>
      </c>
      <c r="P73" s="74"/>
      <c r="Q73" s="74"/>
      <c r="R73" s="74"/>
      <c r="S73" s="79">
        <v>1</v>
      </c>
      <c r="T73" s="79"/>
      <c r="U73" s="74"/>
      <c r="V73" s="78"/>
      <c r="W73" s="78"/>
      <c r="X73" s="78"/>
      <c r="Y73" s="121">
        <f t="shared" si="61"/>
        <v>4866.6750000000002</v>
      </c>
      <c r="Z73" s="121">
        <f t="shared" si="51"/>
        <v>0</v>
      </c>
      <c r="AA73" s="79"/>
      <c r="AB73" s="120">
        <f t="shared" si="62"/>
        <v>4866.6750000000002</v>
      </c>
      <c r="AC73" s="120">
        <f t="shared" si="54"/>
        <v>2433.3375000000001</v>
      </c>
      <c r="AD73" s="120">
        <f t="shared" si="11"/>
        <v>1825.0031250000002</v>
      </c>
      <c r="AE73" s="120">
        <f t="shared" si="49"/>
        <v>912.50156250000009</v>
      </c>
      <c r="AF73" s="120">
        <f t="shared" ref="AF73" si="64">SUM(AB73:AE73)</f>
        <v>10037.5171875</v>
      </c>
      <c r="AG73" s="46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5"/>
      <c r="AW73" s="45"/>
      <c r="AX73" s="48"/>
      <c r="AY73" s="45"/>
      <c r="AZ73" s="47"/>
      <c r="BA73" s="49"/>
      <c r="BB73" s="49"/>
      <c r="BC73" s="45"/>
      <c r="BD73" s="79"/>
      <c r="BE73" s="47"/>
      <c r="BF73" s="47"/>
      <c r="BG73" s="79"/>
      <c r="BH73" s="79"/>
      <c r="BI73" s="47"/>
      <c r="BJ73" s="47"/>
      <c r="BK73" s="78"/>
      <c r="BL73" s="120">
        <f t="shared" si="34"/>
        <v>10037.5171875</v>
      </c>
      <c r="BM73" s="120">
        <f t="shared" si="35"/>
        <v>5170.8421875000004</v>
      </c>
      <c r="BN73" s="120">
        <f t="shared" si="39"/>
        <v>4866.6749999999993</v>
      </c>
      <c r="BO73" s="120">
        <f t="shared" si="40"/>
        <v>120450.20624999999</v>
      </c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</row>
    <row r="74" spans="1:134" ht="15.75" customHeight="1" x14ac:dyDescent="0.25">
      <c r="A74" s="13"/>
      <c r="B74" s="72" t="s">
        <v>180</v>
      </c>
      <c r="C74" s="74" t="s">
        <v>181</v>
      </c>
      <c r="D74" s="72" t="s">
        <v>194</v>
      </c>
      <c r="E74" s="72" t="s">
        <v>79</v>
      </c>
      <c r="F74" s="74">
        <v>30</v>
      </c>
      <c r="G74" s="72" t="s">
        <v>136</v>
      </c>
      <c r="H74" s="72" t="s">
        <v>137</v>
      </c>
      <c r="I74" s="72" t="s">
        <v>138</v>
      </c>
      <c r="J74" s="72" t="s">
        <v>106</v>
      </c>
      <c r="K74" s="74" t="s">
        <v>81</v>
      </c>
      <c r="L74" s="76">
        <v>32.049999999999997</v>
      </c>
      <c r="M74" s="76">
        <v>5.2</v>
      </c>
      <c r="N74" s="77">
        <v>17697</v>
      </c>
      <c r="O74" s="78">
        <f t="shared" si="60"/>
        <v>92024.400000000009</v>
      </c>
      <c r="P74" s="74"/>
      <c r="Q74" s="79"/>
      <c r="R74" s="74"/>
      <c r="S74" s="101"/>
      <c r="T74" s="78">
        <v>3</v>
      </c>
      <c r="U74" s="74"/>
      <c r="V74" s="78"/>
      <c r="W74" s="78"/>
      <c r="X74" s="78"/>
      <c r="Y74" s="121">
        <f t="shared" si="61"/>
        <v>0</v>
      </c>
      <c r="Z74" s="121">
        <f t="shared" si="51"/>
        <v>15337.400000000001</v>
      </c>
      <c r="AA74" s="78"/>
      <c r="AB74" s="120">
        <f>Z74</f>
        <v>15337.400000000001</v>
      </c>
      <c r="AC74" s="120">
        <f t="shared" si="54"/>
        <v>7668.7000000000007</v>
      </c>
      <c r="AD74" s="120">
        <f t="shared" si="11"/>
        <v>5751.5250000000005</v>
      </c>
      <c r="AE74" s="120">
        <f t="shared" si="49"/>
        <v>2875.7625000000007</v>
      </c>
      <c r="AF74" s="120">
        <f t="shared" si="33"/>
        <v>31633.387500000004</v>
      </c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5"/>
      <c r="AW74" s="45"/>
      <c r="AX74" s="48"/>
      <c r="AY74" s="45"/>
      <c r="AZ74" s="47"/>
      <c r="BA74" s="45"/>
      <c r="BB74" s="45"/>
      <c r="BC74" s="45"/>
      <c r="BD74" s="74"/>
      <c r="BE74" s="45"/>
      <c r="BF74" s="45"/>
      <c r="BG74" s="45"/>
      <c r="BH74" s="45"/>
      <c r="BI74" s="45"/>
      <c r="BJ74" s="45"/>
      <c r="BK74" s="94"/>
      <c r="BL74" s="120">
        <f t="shared" si="34"/>
        <v>31633.387500000004</v>
      </c>
      <c r="BM74" s="120">
        <f t="shared" si="35"/>
        <v>16295.987500000003</v>
      </c>
      <c r="BN74" s="120">
        <f t="shared" si="39"/>
        <v>15337.400000000001</v>
      </c>
      <c r="BO74" s="120">
        <f t="shared" si="40"/>
        <v>379600.65</v>
      </c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</row>
    <row r="75" spans="1:134" s="110" customFormat="1" ht="15.75" customHeight="1" x14ac:dyDescent="0.25">
      <c r="A75" s="13"/>
      <c r="B75" s="72" t="s">
        <v>129</v>
      </c>
      <c r="C75" s="74" t="s">
        <v>202</v>
      </c>
      <c r="D75" s="72" t="s">
        <v>131</v>
      </c>
      <c r="E75" s="72" t="s">
        <v>79</v>
      </c>
      <c r="F75" s="74">
        <v>19</v>
      </c>
      <c r="G75" s="72" t="s">
        <v>132</v>
      </c>
      <c r="H75" s="72" t="s">
        <v>133</v>
      </c>
      <c r="I75" s="72" t="s">
        <v>101</v>
      </c>
      <c r="J75" s="72" t="s">
        <v>106</v>
      </c>
      <c r="K75" s="74" t="s">
        <v>81</v>
      </c>
      <c r="L75" s="76">
        <v>14.09</v>
      </c>
      <c r="M75" s="76">
        <v>4.95</v>
      </c>
      <c r="N75" s="77">
        <v>17697</v>
      </c>
      <c r="O75" s="78">
        <f t="shared" si="60"/>
        <v>87600.150000000009</v>
      </c>
      <c r="P75" s="74"/>
      <c r="Q75" s="74"/>
      <c r="R75" s="74"/>
      <c r="S75" s="79">
        <v>1</v>
      </c>
      <c r="T75" s="79"/>
      <c r="U75" s="74"/>
      <c r="V75" s="78"/>
      <c r="W75" s="78"/>
      <c r="X75" s="78"/>
      <c r="Y75" s="121">
        <f t="shared" si="61"/>
        <v>4866.6750000000002</v>
      </c>
      <c r="Z75" s="121">
        <f t="shared" si="51"/>
        <v>0</v>
      </c>
      <c r="AA75" s="79"/>
      <c r="AB75" s="120">
        <f t="shared" si="62"/>
        <v>4866.6750000000002</v>
      </c>
      <c r="AC75" s="120">
        <f t="shared" si="54"/>
        <v>2433.3375000000001</v>
      </c>
      <c r="AD75" s="120">
        <f t="shared" si="11"/>
        <v>1825.0031250000002</v>
      </c>
      <c r="AE75" s="120">
        <f t="shared" si="49"/>
        <v>912.50156250000009</v>
      </c>
      <c r="AF75" s="120">
        <f t="shared" si="33"/>
        <v>10037.5171875</v>
      </c>
      <c r="AG75" s="46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5"/>
      <c r="AW75" s="45"/>
      <c r="AX75" s="45"/>
      <c r="AY75" s="45"/>
      <c r="AZ75" s="47"/>
      <c r="BA75" s="49"/>
      <c r="BB75" s="49"/>
      <c r="BC75" s="45"/>
      <c r="BD75" s="79"/>
      <c r="BE75" s="47"/>
      <c r="BF75" s="47"/>
      <c r="BG75" s="47"/>
      <c r="BH75" s="47"/>
      <c r="BI75" s="47"/>
      <c r="BJ75" s="47"/>
      <c r="BK75" s="94"/>
      <c r="BL75" s="120">
        <f t="shared" si="34"/>
        <v>10037.5171875</v>
      </c>
      <c r="BM75" s="120">
        <f t="shared" si="35"/>
        <v>5170.8421875000004</v>
      </c>
      <c r="BN75" s="120">
        <f t="shared" si="39"/>
        <v>4866.6749999999993</v>
      </c>
      <c r="BO75" s="120">
        <f t="shared" si="40"/>
        <v>120450.20624999999</v>
      </c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</row>
    <row r="76" spans="1:134" ht="15.75" customHeight="1" x14ac:dyDescent="0.25">
      <c r="A76" s="13"/>
      <c r="B76" s="89" t="s">
        <v>183</v>
      </c>
      <c r="C76" s="74"/>
      <c r="D76" s="72"/>
      <c r="E76" s="72"/>
      <c r="F76" s="72"/>
      <c r="G76" s="72"/>
      <c r="H76" s="72"/>
      <c r="I76" s="72"/>
      <c r="J76" s="74"/>
      <c r="K76" s="74"/>
      <c r="L76" s="76"/>
      <c r="M76" s="100"/>
      <c r="N76" s="92"/>
      <c r="O76" s="94"/>
      <c r="P76" s="92">
        <f>P77+P78+P79</f>
        <v>3</v>
      </c>
      <c r="Q76" s="92"/>
      <c r="R76" s="92"/>
      <c r="S76" s="92"/>
      <c r="T76" s="92"/>
      <c r="U76" s="92"/>
      <c r="V76" s="119">
        <f>V77+V78+V79</f>
        <v>11385.07</v>
      </c>
      <c r="W76" s="92">
        <f t="shared" ref="W76:AF76" si="65">W77+W78+W79</f>
        <v>0</v>
      </c>
      <c r="X76" s="92">
        <f t="shared" si="65"/>
        <v>0</v>
      </c>
      <c r="Y76" s="92">
        <f t="shared" si="65"/>
        <v>0</v>
      </c>
      <c r="Z76" s="92">
        <f t="shared" si="65"/>
        <v>0</v>
      </c>
      <c r="AA76" s="92">
        <f t="shared" si="65"/>
        <v>0</v>
      </c>
      <c r="AB76" s="119">
        <f t="shared" si="65"/>
        <v>11385.07</v>
      </c>
      <c r="AC76" s="119">
        <f t="shared" si="65"/>
        <v>5692.5349999999999</v>
      </c>
      <c r="AD76" s="119">
        <f t="shared" si="65"/>
        <v>4269.4012500000008</v>
      </c>
      <c r="AE76" s="119">
        <f t="shared" si="65"/>
        <v>2134.7006250000004</v>
      </c>
      <c r="AF76" s="119">
        <f t="shared" si="65"/>
        <v>23481.706875</v>
      </c>
      <c r="AG76" s="53">
        <f t="shared" ref="AG76" si="66">SUM(AG77:AG79)</f>
        <v>0</v>
      </c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45"/>
      <c r="AW76" s="45"/>
      <c r="AX76" s="48"/>
      <c r="AY76" s="45"/>
      <c r="AZ76" s="47"/>
      <c r="BA76" s="53"/>
      <c r="BB76" s="53"/>
      <c r="BC76" s="53"/>
      <c r="BD76" s="92"/>
      <c r="BE76" s="53"/>
      <c r="BF76" s="53"/>
      <c r="BG76" s="53"/>
      <c r="BH76" s="53"/>
      <c r="BI76" s="53"/>
      <c r="BJ76" s="53"/>
      <c r="BK76" s="94"/>
      <c r="BL76" s="123">
        <f t="shared" si="34"/>
        <v>23481.706875</v>
      </c>
      <c r="BM76" s="123">
        <f t="shared" si="35"/>
        <v>12096.636875</v>
      </c>
      <c r="BN76" s="123">
        <f t="shared" si="39"/>
        <v>11385.07</v>
      </c>
      <c r="BO76" s="123">
        <f t="shared" si="40"/>
        <v>281780.48249999998</v>
      </c>
    </row>
    <row r="77" spans="1:134" ht="15.75" customHeight="1" x14ac:dyDescent="0.25">
      <c r="B77" s="83" t="s">
        <v>139</v>
      </c>
      <c r="C77" s="74" t="s">
        <v>184</v>
      </c>
      <c r="D77" s="72" t="s">
        <v>141</v>
      </c>
      <c r="E77" s="72" t="s">
        <v>79</v>
      </c>
      <c r="F77" s="74">
        <v>29</v>
      </c>
      <c r="G77" s="72" t="s">
        <v>136</v>
      </c>
      <c r="H77" s="72" t="s">
        <v>137</v>
      </c>
      <c r="I77" s="72" t="s">
        <v>101</v>
      </c>
      <c r="J77" s="72" t="s">
        <v>79</v>
      </c>
      <c r="K77" s="74" t="s">
        <v>87</v>
      </c>
      <c r="L77" s="76">
        <v>38.03</v>
      </c>
      <c r="M77" s="76">
        <v>5.41</v>
      </c>
      <c r="N77" s="77">
        <v>17697</v>
      </c>
      <c r="O77" s="78">
        <f t="shared" ref="O77:O79" si="67">SUM(N77*M77)</f>
        <v>95740.77</v>
      </c>
      <c r="P77" s="74">
        <v>1</v>
      </c>
      <c r="Q77" s="74"/>
      <c r="R77" s="74"/>
      <c r="S77" s="74"/>
      <c r="T77" s="74"/>
      <c r="U77" s="74"/>
      <c r="V77" s="120">
        <f>O77/24*P77</f>
        <v>3989.19875</v>
      </c>
      <c r="W77" s="78"/>
      <c r="X77" s="78"/>
      <c r="Y77" s="78"/>
      <c r="Z77" s="78"/>
      <c r="AA77" s="78"/>
      <c r="AB77" s="120">
        <f>V77</f>
        <v>3989.19875</v>
      </c>
      <c r="AC77" s="120">
        <f>AB77*50%</f>
        <v>1994.599375</v>
      </c>
      <c r="AD77" s="120">
        <f t="shared" si="11"/>
        <v>1495.9495312500001</v>
      </c>
      <c r="AE77" s="120">
        <f t="shared" si="32"/>
        <v>747.97476562500003</v>
      </c>
      <c r="AF77" s="120">
        <f t="shared" si="33"/>
        <v>8227.7224218749998</v>
      </c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53"/>
      <c r="AW77" s="53"/>
      <c r="AX77" s="53"/>
      <c r="AY77" s="53"/>
      <c r="AZ77" s="53"/>
      <c r="BA77" s="45"/>
      <c r="BB77" s="45"/>
      <c r="BC77" s="45"/>
      <c r="BD77" s="74"/>
      <c r="BE77" s="45"/>
      <c r="BF77" s="45"/>
      <c r="BG77" s="45"/>
      <c r="BH77" s="106"/>
      <c r="BI77" s="79"/>
      <c r="BJ77" s="79"/>
      <c r="BK77" s="94"/>
      <c r="BL77" s="120">
        <f t="shared" si="34"/>
        <v>8227.7224218749998</v>
      </c>
      <c r="BM77" s="120">
        <f t="shared" si="35"/>
        <v>4238.5236718750002</v>
      </c>
      <c r="BN77" s="120">
        <f t="shared" si="39"/>
        <v>3989.1987499999996</v>
      </c>
      <c r="BO77" s="120">
        <f t="shared" si="40"/>
        <v>98732.669062500005</v>
      </c>
    </row>
    <row r="78" spans="1:134" ht="15.75" customHeight="1" x14ac:dyDescent="0.25">
      <c r="B78" s="72" t="s">
        <v>144</v>
      </c>
      <c r="C78" s="74" t="s">
        <v>145</v>
      </c>
      <c r="D78" s="72" t="s">
        <v>146</v>
      </c>
      <c r="E78" s="72" t="s">
        <v>79</v>
      </c>
      <c r="F78" s="74">
        <v>25</v>
      </c>
      <c r="G78" s="75">
        <v>43831</v>
      </c>
      <c r="H78" s="75">
        <v>45658</v>
      </c>
      <c r="I78" s="87" t="s">
        <v>147</v>
      </c>
      <c r="J78" s="72" t="s">
        <v>106</v>
      </c>
      <c r="K78" s="74" t="s">
        <v>81</v>
      </c>
      <c r="L78" s="76">
        <v>8.0500000000000007</v>
      </c>
      <c r="M78" s="76">
        <v>4.79</v>
      </c>
      <c r="N78" s="77">
        <v>17697</v>
      </c>
      <c r="O78" s="78">
        <f t="shared" si="67"/>
        <v>84768.63</v>
      </c>
      <c r="P78" s="74">
        <v>1</v>
      </c>
      <c r="Q78" s="74"/>
      <c r="R78" s="74"/>
      <c r="S78" s="74"/>
      <c r="T78" s="74"/>
      <c r="U78" s="74"/>
      <c r="V78" s="120">
        <f t="shared" ref="V78:V79" si="68">O78/24*P78</f>
        <v>3532.0262500000003</v>
      </c>
      <c r="W78" s="78"/>
      <c r="X78" s="78"/>
      <c r="Y78" s="78"/>
      <c r="Z78" s="78"/>
      <c r="AA78" s="78"/>
      <c r="AB78" s="120">
        <f t="shared" ref="AB78:AB79" si="69">V78</f>
        <v>3532.0262500000003</v>
      </c>
      <c r="AC78" s="120">
        <f t="shared" ref="AC78:AC79" si="70">AB78*50%</f>
        <v>1766.0131250000002</v>
      </c>
      <c r="AD78" s="120">
        <f t="shared" si="11"/>
        <v>1324.5098437500001</v>
      </c>
      <c r="AE78" s="120">
        <f t="shared" si="32"/>
        <v>662.25492187500015</v>
      </c>
      <c r="AF78" s="120">
        <f t="shared" ref="AF78:AF79" si="71">SUM(AB78:AE78)</f>
        <v>7284.8041406250004</v>
      </c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5"/>
      <c r="AW78" s="45"/>
      <c r="AX78" s="48"/>
      <c r="AY78" s="45"/>
      <c r="AZ78" s="47"/>
      <c r="BA78" s="45"/>
      <c r="BB78" s="45"/>
      <c r="BC78" s="45"/>
      <c r="BD78" s="45"/>
      <c r="BE78" s="45"/>
      <c r="BF78" s="45"/>
      <c r="BG78" s="45"/>
      <c r="BH78" s="106"/>
      <c r="BI78" s="79"/>
      <c r="BJ78" s="79"/>
      <c r="BK78" s="94"/>
      <c r="BL78" s="120">
        <f t="shared" si="34"/>
        <v>7284.8041406250004</v>
      </c>
      <c r="BM78" s="120">
        <f t="shared" si="35"/>
        <v>3752.7778906250005</v>
      </c>
      <c r="BN78" s="120">
        <f t="shared" si="39"/>
        <v>3532.0262499999999</v>
      </c>
      <c r="BO78" s="120">
        <f t="shared" si="40"/>
        <v>87417.649687500001</v>
      </c>
    </row>
    <row r="79" spans="1:134" ht="15.75" customHeight="1" x14ac:dyDescent="0.25">
      <c r="B79" s="29" t="s">
        <v>120</v>
      </c>
      <c r="C79" s="74" t="s">
        <v>121</v>
      </c>
      <c r="D79" s="72" t="s">
        <v>122</v>
      </c>
      <c r="E79" s="72" t="s">
        <v>79</v>
      </c>
      <c r="F79" s="74">
        <v>49</v>
      </c>
      <c r="G79" s="75">
        <v>43335</v>
      </c>
      <c r="H79" s="75">
        <v>45161</v>
      </c>
      <c r="I79" s="72" t="s">
        <v>123</v>
      </c>
      <c r="J79" s="72" t="s">
        <v>92</v>
      </c>
      <c r="K79" s="74" t="s">
        <v>87</v>
      </c>
      <c r="L79" s="76">
        <v>17.04</v>
      </c>
      <c r="M79" s="76">
        <v>5.24</v>
      </c>
      <c r="N79" s="77">
        <v>17697</v>
      </c>
      <c r="O79" s="78">
        <f t="shared" si="67"/>
        <v>92732.28</v>
      </c>
      <c r="P79" s="74">
        <v>1</v>
      </c>
      <c r="Q79" s="74"/>
      <c r="R79" s="74"/>
      <c r="S79" s="74"/>
      <c r="T79" s="74"/>
      <c r="U79" s="74"/>
      <c r="V79" s="120">
        <f t="shared" si="68"/>
        <v>3863.8449999999998</v>
      </c>
      <c r="W79" s="78"/>
      <c r="X79" s="78"/>
      <c r="Y79" s="78"/>
      <c r="Z79" s="78"/>
      <c r="AA79" s="78"/>
      <c r="AB79" s="120">
        <f t="shared" si="69"/>
        <v>3863.8449999999998</v>
      </c>
      <c r="AC79" s="120">
        <f t="shared" si="70"/>
        <v>1931.9224999999999</v>
      </c>
      <c r="AD79" s="120">
        <f t="shared" si="11"/>
        <v>1448.941875</v>
      </c>
      <c r="AE79" s="120">
        <f t="shared" si="32"/>
        <v>724.47093749999999</v>
      </c>
      <c r="AF79" s="120">
        <f t="shared" si="71"/>
        <v>7969.1803125000006</v>
      </c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5"/>
      <c r="AW79" s="45"/>
      <c r="AX79" s="45"/>
      <c r="AY79" s="45"/>
      <c r="AZ79" s="47"/>
      <c r="BA79" s="45"/>
      <c r="BB79" s="45"/>
      <c r="BC79" s="45"/>
      <c r="BD79" s="45"/>
      <c r="BE79" s="45"/>
      <c r="BF79" s="45"/>
      <c r="BG79" s="45"/>
      <c r="BH79" s="106"/>
      <c r="BI79" s="79"/>
      <c r="BJ79" s="79"/>
      <c r="BK79" s="94"/>
      <c r="BL79" s="120">
        <f t="shared" si="34"/>
        <v>7969.1803125000006</v>
      </c>
      <c r="BM79" s="120">
        <f t="shared" si="35"/>
        <v>4105.3353125000003</v>
      </c>
      <c r="BN79" s="120">
        <f t="shared" si="39"/>
        <v>3863.8450000000003</v>
      </c>
      <c r="BO79" s="120">
        <f t="shared" si="40"/>
        <v>95630.163750000007</v>
      </c>
    </row>
    <row r="80" spans="1:134" ht="15.75" customHeight="1" x14ac:dyDescent="0.25">
      <c r="B80" s="89" t="s">
        <v>185</v>
      </c>
      <c r="C80" s="83"/>
      <c r="D80" s="72"/>
      <c r="E80" s="74"/>
      <c r="F80" s="74"/>
      <c r="G80" s="74"/>
      <c r="H80" s="74"/>
      <c r="I80" s="74"/>
      <c r="J80" s="83"/>
      <c r="K80" s="83"/>
      <c r="L80" s="83"/>
      <c r="M80" s="100"/>
      <c r="N80" s="92">
        <f>N45+N57+N76</f>
        <v>17697</v>
      </c>
      <c r="O80" s="94">
        <f>SUM(O16:O79)</f>
        <v>5160976.1099999985</v>
      </c>
      <c r="P80" s="92">
        <f>P45+P46</f>
        <v>100</v>
      </c>
      <c r="Q80" s="92">
        <f t="shared" ref="Q80:T80" si="72">Q45+Q46</f>
        <v>133</v>
      </c>
      <c r="R80" s="92">
        <f t="shared" si="72"/>
        <v>62</v>
      </c>
      <c r="S80" s="92">
        <f t="shared" si="72"/>
        <v>10</v>
      </c>
      <c r="T80" s="92">
        <f t="shared" si="72"/>
        <v>12</v>
      </c>
      <c r="U80" s="92">
        <f>U45+U46+U58</f>
        <v>16</v>
      </c>
      <c r="V80" s="119">
        <f t="shared" ref="V80:BK80" si="73">V45+V46</f>
        <v>494296.87333333335</v>
      </c>
      <c r="W80" s="119">
        <f t="shared" si="73"/>
        <v>666621.41083333339</v>
      </c>
      <c r="X80" s="119">
        <f t="shared" si="73"/>
        <v>301694.52333333332</v>
      </c>
      <c r="Y80" s="119">
        <f t="shared" si="73"/>
        <v>49826.886666666673</v>
      </c>
      <c r="Z80" s="119">
        <f t="shared" si="73"/>
        <v>54742.720000000001</v>
      </c>
      <c r="AA80" s="119">
        <f t="shared" si="73"/>
        <v>78967.94666666667</v>
      </c>
      <c r="AB80" s="119">
        <f t="shared" si="73"/>
        <v>1646150.3608333329</v>
      </c>
      <c r="AC80" s="119">
        <f t="shared" si="73"/>
        <v>823075.18041666644</v>
      </c>
      <c r="AD80" s="119">
        <f t="shared" si="73"/>
        <v>617306.38531250006</v>
      </c>
      <c r="AE80" s="119">
        <f t="shared" si="73"/>
        <v>305915.68796875002</v>
      </c>
      <c r="AF80" s="119">
        <f t="shared" si="73"/>
        <v>3392447.6145312497</v>
      </c>
      <c r="AG80" s="119">
        <f t="shared" si="73"/>
        <v>0</v>
      </c>
      <c r="AH80" s="119">
        <f t="shared" si="73"/>
        <v>42.5</v>
      </c>
      <c r="AI80" s="119">
        <f t="shared" si="73"/>
        <v>16714</v>
      </c>
      <c r="AJ80" s="119">
        <f t="shared" si="73"/>
        <v>4</v>
      </c>
      <c r="AK80" s="119">
        <f t="shared" si="73"/>
        <v>1966.5111111111109</v>
      </c>
      <c r="AL80" s="119">
        <f t="shared" si="73"/>
        <v>46.677777777777777</v>
      </c>
      <c r="AM80" s="119">
        <f t="shared" si="73"/>
        <v>18680</v>
      </c>
      <c r="AN80" s="119">
        <f t="shared" si="73"/>
        <v>14.5</v>
      </c>
      <c r="AO80" s="119">
        <f t="shared" si="73"/>
        <v>7127.9583333333339</v>
      </c>
      <c r="AP80" s="119">
        <f t="shared" si="73"/>
        <v>14</v>
      </c>
      <c r="AQ80" s="119">
        <f t="shared" si="73"/>
        <v>15534.033333333333</v>
      </c>
      <c r="AR80" s="119">
        <f t="shared" si="73"/>
        <v>52.5</v>
      </c>
      <c r="AS80" s="119">
        <f t="shared" si="73"/>
        <v>22661.991666666665</v>
      </c>
      <c r="AT80" s="119">
        <f t="shared" si="73"/>
        <v>99.177777777777777</v>
      </c>
      <c r="AU80" s="119">
        <f t="shared" si="73"/>
        <v>44538</v>
      </c>
      <c r="AV80" s="119">
        <f t="shared" si="73"/>
        <v>74</v>
      </c>
      <c r="AW80" s="119">
        <f t="shared" si="73"/>
        <v>5</v>
      </c>
      <c r="AX80" s="119">
        <f t="shared" si="73"/>
        <v>4</v>
      </c>
      <c r="AY80" s="119">
        <f t="shared" si="73"/>
        <v>2</v>
      </c>
      <c r="AZ80" s="119">
        <f t="shared" si="73"/>
        <v>109721.39999999998</v>
      </c>
      <c r="BA80" s="119">
        <f t="shared" si="73"/>
        <v>3</v>
      </c>
      <c r="BB80" s="119">
        <f t="shared" si="73"/>
        <v>10618.2</v>
      </c>
      <c r="BC80" s="119">
        <f t="shared" si="73"/>
        <v>326</v>
      </c>
      <c r="BD80" s="119">
        <f t="shared" si="73"/>
        <v>922304.04140624998</v>
      </c>
      <c r="BE80" s="119">
        <f t="shared" si="73"/>
        <v>53091</v>
      </c>
      <c r="BF80" s="119">
        <f t="shared" si="73"/>
        <v>164.5</v>
      </c>
      <c r="BG80" s="119">
        <f t="shared" si="73"/>
        <v>938601.87234374997</v>
      </c>
      <c r="BH80" s="119">
        <f t="shared" si="73"/>
        <v>12978.166666666666</v>
      </c>
      <c r="BI80" s="119">
        <f t="shared" si="73"/>
        <v>29170</v>
      </c>
      <c r="BJ80" s="119">
        <f t="shared" si="73"/>
        <v>17697</v>
      </c>
      <c r="BK80" s="119">
        <f t="shared" si="73"/>
        <v>2127311.5024652784</v>
      </c>
      <c r="BL80" s="119">
        <f>BL45+BL46</f>
        <v>5537157.4801215287</v>
      </c>
      <c r="BM80" s="119">
        <f t="shared" ref="BM80:BN80" si="74">BM45+BM46</f>
        <v>2722442.5741666663</v>
      </c>
      <c r="BN80" s="119">
        <f t="shared" si="74"/>
        <v>2814714.905954862</v>
      </c>
      <c r="BO80" s="119">
        <f>BO45+BO46</f>
        <v>66445889.761458337</v>
      </c>
    </row>
    <row r="81" spans="2:67" ht="15.75" customHeight="1" x14ac:dyDescent="0.25">
      <c r="B81" s="5"/>
      <c r="C81" s="5"/>
      <c r="D81" s="3"/>
      <c r="E81" s="4"/>
      <c r="F81" s="4"/>
      <c r="G81" s="4"/>
      <c r="H81" s="4"/>
      <c r="I81" s="4"/>
      <c r="J81" s="5"/>
      <c r="K81" s="5"/>
      <c r="L81" s="5"/>
      <c r="M81" s="25"/>
      <c r="N81" s="5"/>
      <c r="O81" s="102"/>
      <c r="P81" s="5"/>
      <c r="Q81" s="2"/>
      <c r="R81" s="5"/>
      <c r="S81" s="7"/>
      <c r="T81" s="7"/>
      <c r="U81" s="7"/>
      <c r="V81" s="5"/>
      <c r="W81" s="5"/>
      <c r="X81" s="5"/>
      <c r="Y81" s="5"/>
      <c r="Z81" s="5"/>
      <c r="AA81" s="5"/>
      <c r="AB81" s="5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2"/>
      <c r="AV81" s="124"/>
      <c r="AW81" s="124"/>
      <c r="AX81" s="124"/>
      <c r="AY81" s="124"/>
      <c r="AZ81" s="124"/>
      <c r="BA81" s="12"/>
      <c r="BB81" s="12"/>
      <c r="BC81" s="13"/>
      <c r="BD81" s="13"/>
      <c r="BE81" s="13"/>
      <c r="BF81" s="13"/>
      <c r="BG81" s="13"/>
      <c r="BH81" s="13"/>
      <c r="BI81" s="13"/>
      <c r="BJ81" s="13"/>
      <c r="BK81" s="23"/>
      <c r="BL81" s="59"/>
      <c r="BM81" s="59"/>
      <c r="BN81" s="59"/>
      <c r="BO81" s="12"/>
    </row>
    <row r="82" spans="2:67" ht="15.75" customHeight="1" x14ac:dyDescent="0.25">
      <c r="B82" s="2" t="s">
        <v>216</v>
      </c>
      <c r="C82" s="17" t="s">
        <v>217</v>
      </c>
      <c r="D82" s="3"/>
      <c r="E82" s="5"/>
      <c r="F82" s="5"/>
      <c r="G82" s="217" t="s">
        <v>243</v>
      </c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5"/>
      <c r="Z82" s="5"/>
      <c r="AA82" s="5"/>
      <c r="AB82" s="5"/>
      <c r="AC82" s="13"/>
      <c r="AD82" s="60"/>
      <c r="AE82" s="13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2"/>
      <c r="AV82" s="12"/>
      <c r="AW82" s="12"/>
      <c r="AX82" s="12"/>
      <c r="AY82" s="12"/>
      <c r="AZ82" s="12"/>
      <c r="BA82" s="12"/>
      <c r="BB82" s="12"/>
      <c r="BC82" s="13"/>
      <c r="BD82" s="13"/>
      <c r="BE82" s="13"/>
      <c r="BF82" s="13"/>
      <c r="BG82" s="13"/>
      <c r="BH82" s="13"/>
      <c r="BI82" s="13"/>
      <c r="BJ82" s="13"/>
      <c r="BK82" s="60"/>
      <c r="BL82" s="62"/>
      <c r="BM82" s="62"/>
      <c r="BN82" s="62"/>
      <c r="BO82" s="60"/>
    </row>
    <row r="83" spans="2:67" ht="15.75" customHeight="1" x14ac:dyDescent="0.25">
      <c r="B83" s="2"/>
      <c r="C83" s="2"/>
      <c r="D83" s="3"/>
      <c r="E83" s="5"/>
      <c r="F83" s="5"/>
      <c r="G83" s="5"/>
      <c r="H83" s="5"/>
      <c r="I83" s="5"/>
      <c r="J83" s="61"/>
      <c r="K83" s="5"/>
      <c r="L83" s="154"/>
      <c r="M83" s="7"/>
      <c r="N83" s="2"/>
      <c r="O83" s="61"/>
      <c r="P83" s="155"/>
      <c r="Q83" s="61"/>
      <c r="R83" s="155"/>
      <c r="S83" s="7"/>
      <c r="T83" s="7"/>
      <c r="U83" s="7"/>
      <c r="V83" s="2"/>
      <c r="W83" s="5"/>
      <c r="X83" s="61"/>
      <c r="Y83" s="5"/>
      <c r="Z83" s="5"/>
      <c r="AA83" s="5"/>
      <c r="AB83" s="5"/>
      <c r="AC83" s="13"/>
      <c r="AD83" s="60"/>
      <c r="AE83" s="13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2"/>
      <c r="AV83" s="62"/>
      <c r="AW83" s="12"/>
      <c r="AX83" s="62"/>
      <c r="AY83" s="62"/>
      <c r="AZ83" s="62"/>
      <c r="BA83" s="12"/>
      <c r="BB83" s="12"/>
      <c r="BC83" s="13"/>
      <c r="BD83" s="13"/>
      <c r="BE83" s="13"/>
      <c r="BF83" s="13"/>
      <c r="BG83" s="13"/>
      <c r="BH83" s="13"/>
      <c r="BI83" s="13"/>
      <c r="BJ83" s="13"/>
      <c r="BK83" s="64"/>
      <c r="BL83" s="64"/>
      <c r="BM83" s="64"/>
      <c r="BN83" s="64"/>
      <c r="BO83" s="13"/>
    </row>
    <row r="84" spans="2:67" ht="15.75" customHeight="1" x14ac:dyDescent="0.25">
      <c r="B84" s="2" t="s">
        <v>186</v>
      </c>
      <c r="C84" s="2" t="s">
        <v>187</v>
      </c>
      <c r="D84" s="104"/>
      <c r="E84" s="5"/>
      <c r="F84" s="5"/>
      <c r="G84" s="218" t="s">
        <v>244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5"/>
      <c r="AA84" s="5"/>
      <c r="AB84" s="5"/>
      <c r="AC84" s="13"/>
      <c r="AD84" s="60"/>
      <c r="AE84" s="13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2"/>
      <c r="AV84" s="12"/>
      <c r="AW84" s="12"/>
      <c r="AX84" s="12"/>
      <c r="AY84" s="12"/>
      <c r="AZ84" s="12"/>
      <c r="BA84" s="12"/>
      <c r="BB84" s="12"/>
      <c r="BC84" s="13"/>
      <c r="BD84" s="13"/>
      <c r="BE84" s="13"/>
      <c r="BF84" s="13"/>
      <c r="BG84" s="13"/>
      <c r="BH84" s="13"/>
      <c r="BI84" s="13"/>
      <c r="BJ84" s="13"/>
      <c r="BK84" s="64"/>
      <c r="BL84" s="64"/>
      <c r="BM84" s="64"/>
      <c r="BN84" s="64"/>
      <c r="BO84" s="13"/>
    </row>
    <row r="85" spans="2:67" ht="15.75" customHeight="1" x14ac:dyDescent="0.25">
      <c r="B85" s="2"/>
      <c r="C85" s="2"/>
      <c r="D85" s="104"/>
      <c r="E85" s="4"/>
      <c r="F85" s="4"/>
      <c r="G85" s="4"/>
      <c r="H85" s="4"/>
      <c r="I85" s="4"/>
      <c r="J85" s="5"/>
      <c r="K85" s="5"/>
      <c r="L85" s="5"/>
      <c r="M85" s="25"/>
      <c r="N85" s="2"/>
      <c r="O85" s="2"/>
      <c r="P85" s="2"/>
      <c r="Q85" s="2"/>
      <c r="R85" s="2"/>
      <c r="S85" s="7"/>
      <c r="T85" s="7"/>
      <c r="U85" s="7"/>
      <c r="V85" s="2"/>
      <c r="W85" s="5"/>
      <c r="X85" s="5"/>
      <c r="Y85" s="5"/>
      <c r="Z85" s="5"/>
      <c r="AA85" s="5"/>
      <c r="AB85" s="5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2"/>
      <c r="AV85" s="12"/>
      <c r="AW85" s="12"/>
      <c r="AX85" s="12"/>
      <c r="AY85" s="12"/>
      <c r="AZ85" s="12"/>
      <c r="BA85" s="12"/>
      <c r="BB85" s="12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</row>
    <row r="86" spans="2:67" ht="15.75" customHeight="1" x14ac:dyDescent="0.25">
      <c r="B86" s="2" t="s">
        <v>188</v>
      </c>
      <c r="C86" s="2" t="s">
        <v>189</v>
      </c>
      <c r="D86" s="104"/>
      <c r="E86" s="4"/>
      <c r="F86" s="4"/>
      <c r="G86" s="4"/>
      <c r="H86" s="4"/>
      <c r="I86" s="4"/>
      <c r="J86" s="5"/>
      <c r="K86" s="5"/>
      <c r="L86" s="5"/>
      <c r="M86" s="25"/>
      <c r="N86" s="2"/>
      <c r="O86" s="2"/>
      <c r="P86" s="105"/>
      <c r="Q86" s="2"/>
      <c r="R86" s="2"/>
      <c r="S86" s="7"/>
      <c r="T86" s="7"/>
      <c r="U86" s="7"/>
      <c r="V86" s="2"/>
      <c r="W86" s="5"/>
      <c r="X86" s="5"/>
      <c r="Y86" s="5"/>
      <c r="Z86" s="5"/>
      <c r="AA86" s="5"/>
      <c r="AB86" s="5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2"/>
      <c r="AV86" s="12"/>
      <c r="AW86" s="12"/>
      <c r="AX86" s="12"/>
      <c r="AY86" s="12"/>
      <c r="AZ86" s="12"/>
      <c r="BA86" s="12"/>
      <c r="BB86" s="12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</row>
    <row r="87" spans="2:67" ht="15.75" customHeight="1" x14ac:dyDescent="0.25">
      <c r="B87" s="2"/>
      <c r="C87" s="2"/>
      <c r="D87" s="3"/>
      <c r="E87" s="4"/>
      <c r="F87" s="4"/>
      <c r="G87" s="4"/>
      <c r="H87" s="4"/>
      <c r="I87" s="4"/>
      <c r="J87" s="5"/>
      <c r="K87" s="5"/>
      <c r="L87" s="5"/>
      <c r="M87" s="25"/>
      <c r="N87" s="2"/>
      <c r="O87" s="2"/>
      <c r="P87" s="2"/>
      <c r="Q87" s="2"/>
      <c r="R87" s="2"/>
      <c r="S87" s="7"/>
      <c r="T87" s="7"/>
      <c r="U87" s="7"/>
      <c r="V87" s="2"/>
      <c r="W87" s="5"/>
      <c r="X87" s="5"/>
      <c r="Y87" s="5"/>
      <c r="Z87" s="5"/>
      <c r="AA87" s="5"/>
      <c r="AB87" s="5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65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</row>
    <row r="88" spans="2:67" ht="15.75" customHeight="1" x14ac:dyDescent="0.25">
      <c r="B88" s="2" t="s">
        <v>190</v>
      </c>
      <c r="C88" s="2" t="s">
        <v>192</v>
      </c>
      <c r="D88" s="3"/>
      <c r="E88" s="4"/>
      <c r="F88" s="4"/>
      <c r="G88" s="4"/>
      <c r="H88" s="4"/>
      <c r="I88" s="4"/>
      <c r="J88" s="5"/>
      <c r="K88" s="5"/>
      <c r="L88" s="5"/>
      <c r="M88" s="25"/>
      <c r="N88" s="5"/>
      <c r="O88" s="5"/>
      <c r="P88" s="5"/>
      <c r="Q88" s="2"/>
      <c r="R88" s="5"/>
      <c r="S88" s="7"/>
      <c r="T88" s="7"/>
      <c r="U88" s="7"/>
      <c r="V88" s="5"/>
      <c r="W88" s="5"/>
      <c r="X88" s="5"/>
      <c r="Y88" s="5"/>
      <c r="Z88" s="5"/>
      <c r="AA88" s="5"/>
      <c r="AB88" s="5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</row>
    <row r="89" spans="2:67" ht="15.75" customHeight="1" x14ac:dyDescent="0.25">
      <c r="B89" s="5"/>
      <c r="C89" s="5"/>
      <c r="D89" s="3"/>
      <c r="E89" s="4"/>
      <c r="F89" s="4"/>
      <c r="G89" s="4"/>
      <c r="H89" s="4"/>
      <c r="I89" s="4"/>
      <c r="J89" s="5"/>
      <c r="K89" s="5"/>
      <c r="L89" s="5"/>
      <c r="M89" s="25"/>
      <c r="N89" s="5"/>
      <c r="O89" s="5"/>
      <c r="P89" s="5"/>
      <c r="Q89" s="2"/>
      <c r="R89" s="5"/>
      <c r="S89" s="7"/>
      <c r="T89" s="7"/>
      <c r="U89" s="7"/>
      <c r="V89" s="5"/>
      <c r="W89" s="5"/>
      <c r="X89" s="5"/>
      <c r="Y89" s="5"/>
      <c r="Z89" s="5"/>
      <c r="AA89" s="5"/>
      <c r="AB89" s="5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</row>
    <row r="90" spans="2:67" ht="15.75" customHeight="1" x14ac:dyDescent="0.25">
      <c r="B90" s="5"/>
      <c r="C90" s="5"/>
      <c r="D90" s="3"/>
      <c r="E90" s="4"/>
      <c r="F90" s="4"/>
      <c r="G90" s="4"/>
      <c r="H90" s="4"/>
      <c r="I90" s="4"/>
      <c r="J90" s="5"/>
      <c r="K90" s="5"/>
      <c r="L90" s="5"/>
      <c r="M90" s="25"/>
      <c r="N90" s="5"/>
      <c r="O90" s="5"/>
      <c r="P90" s="5"/>
      <c r="Q90" s="2"/>
      <c r="R90" s="5"/>
      <c r="S90" s="7"/>
      <c r="T90" s="7"/>
      <c r="U90" s="7"/>
      <c r="V90" s="5"/>
      <c r="W90" s="5"/>
      <c r="X90" s="5"/>
      <c r="Y90" s="5"/>
      <c r="Z90" s="5"/>
      <c r="AA90" s="5"/>
      <c r="AB90" s="5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</row>
    <row r="91" spans="2:67" ht="15.75" customHeight="1" x14ac:dyDescent="0.25">
      <c r="B91" s="13"/>
      <c r="C91" s="13"/>
      <c r="D91" s="54"/>
      <c r="E91" s="55"/>
      <c r="F91" s="55"/>
      <c r="G91" s="55"/>
      <c r="H91" s="55"/>
      <c r="I91" s="55"/>
      <c r="J91" s="13"/>
      <c r="K91" s="13"/>
      <c r="L91" s="13"/>
      <c r="M91" s="56"/>
      <c r="N91" s="13"/>
      <c r="O91" s="57"/>
      <c r="P91" s="13"/>
      <c r="Q91" s="58"/>
      <c r="R91" s="13"/>
      <c r="S91" s="116"/>
      <c r="T91" s="116"/>
      <c r="U91" s="116"/>
      <c r="V91" s="13"/>
      <c r="W91" s="13"/>
      <c r="X91" s="13"/>
      <c r="Y91" s="13"/>
      <c r="Z91" s="13"/>
      <c r="AA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</row>
    <row r="92" spans="2:67" ht="15.75" customHeight="1" x14ac:dyDescent="0.25">
      <c r="B92" s="13"/>
      <c r="C92" s="13"/>
      <c r="D92" s="54"/>
      <c r="E92" s="55"/>
      <c r="F92" s="55"/>
      <c r="G92" s="55"/>
      <c r="H92" s="55"/>
      <c r="I92" s="55"/>
      <c r="J92" s="13"/>
      <c r="K92" s="13"/>
      <c r="L92" s="13"/>
      <c r="M92" s="56"/>
      <c r="N92" s="13"/>
      <c r="O92" s="66"/>
      <c r="P92" s="13"/>
      <c r="Q92" s="58"/>
      <c r="R92" s="13"/>
      <c r="S92" s="116"/>
      <c r="T92" s="116"/>
      <c r="U92" s="116"/>
      <c r="V92" s="13"/>
      <c r="W92" s="13"/>
      <c r="X92" s="13"/>
      <c r="Y92" s="13"/>
      <c r="Z92" s="13"/>
      <c r="AA92" s="13"/>
      <c r="AC92" s="13"/>
      <c r="AD92" s="13"/>
      <c r="AE92" s="13"/>
      <c r="AF92" s="13" t="s">
        <v>191</v>
      </c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</row>
    <row r="93" spans="2:67" ht="15.75" customHeight="1" x14ac:dyDescent="0.25">
      <c r="B93" s="13"/>
      <c r="C93" s="13"/>
      <c r="D93" s="54"/>
      <c r="E93" s="55"/>
      <c r="F93" s="55"/>
      <c r="G93" s="55"/>
      <c r="H93" s="55"/>
      <c r="I93" s="55"/>
      <c r="J93" s="13"/>
      <c r="K93" s="13"/>
      <c r="L93" s="13"/>
      <c r="M93" s="56"/>
      <c r="N93" s="13"/>
      <c r="O93" s="13"/>
      <c r="P93" s="13"/>
      <c r="Q93" s="58"/>
      <c r="R93" s="13"/>
      <c r="S93" s="116"/>
      <c r="T93" s="116"/>
      <c r="U93" s="116"/>
      <c r="V93" s="13"/>
      <c r="W93" s="13"/>
      <c r="X93" s="13"/>
      <c r="Y93" s="13"/>
      <c r="Z93" s="13"/>
      <c r="AA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</row>
    <row r="94" spans="2:67" ht="15.75" customHeight="1" x14ac:dyDescent="0.25">
      <c r="AV94" s="13"/>
      <c r="AW94" s="13"/>
      <c r="AX94" s="13"/>
      <c r="AY94" s="13"/>
      <c r="AZ94" s="13"/>
    </row>
  </sheetData>
  <autoFilter ref="B10:BO81" xr:uid="{00000000-0009-0000-0000-000002000000}">
    <filterColumn colId="4" showButton="0"/>
    <filterColumn colId="5" showButton="0"/>
    <filterColumn colId="6" showButton="0"/>
    <filterColumn colId="7" showButton="0"/>
    <filterColumn colId="14" showButton="0"/>
    <filterColumn colId="15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6" showButton="0"/>
    <filterColumn colId="47" showButton="0"/>
    <filterColumn colId="48" showButton="0"/>
    <filterColumn colId="49" showButton="0"/>
    <filterColumn colId="51" showButton="0"/>
  </autoFilter>
  <mergeCells count="60">
    <mergeCell ref="G82:X82"/>
    <mergeCell ref="G84:Y84"/>
    <mergeCell ref="AJ13:AK13"/>
    <mergeCell ref="K10:K14"/>
    <mergeCell ref="AG10:AG12"/>
    <mergeCell ref="V12:X13"/>
    <mergeCell ref="Y12:AA13"/>
    <mergeCell ref="AB12:AB14"/>
    <mergeCell ref="L10:L14"/>
    <mergeCell ref="M10:M14"/>
    <mergeCell ref="N10:N14"/>
    <mergeCell ref="O10:O14"/>
    <mergeCell ref="P10:R13"/>
    <mergeCell ref="S10:U13"/>
    <mergeCell ref="BL10:BL14"/>
    <mergeCell ref="BM10:BM14"/>
    <mergeCell ref="BN10:BN14"/>
    <mergeCell ref="BO10:BO14"/>
    <mergeCell ref="AH11:AM11"/>
    <mergeCell ref="AN11:AS11"/>
    <mergeCell ref="AH12:AI12"/>
    <mergeCell ref="AJ12:AK12"/>
    <mergeCell ref="AL12:AM13"/>
    <mergeCell ref="AN12:AO12"/>
    <mergeCell ref="BE10:BE14"/>
    <mergeCell ref="BF10:BF14"/>
    <mergeCell ref="BG10:BG14"/>
    <mergeCell ref="BH10:BH14"/>
    <mergeCell ref="BI10:BI14"/>
    <mergeCell ref="BK10:BK14"/>
    <mergeCell ref="AN13:AO13"/>
    <mergeCell ref="AP13:AQ13"/>
    <mergeCell ref="AV13:AV14"/>
    <mergeCell ref="AW13:AY13"/>
    <mergeCell ref="AZ13:AZ14"/>
    <mergeCell ref="B10:B14"/>
    <mergeCell ref="C10:C14"/>
    <mergeCell ref="D10:D14"/>
    <mergeCell ref="E10:E14"/>
    <mergeCell ref="F10:J11"/>
    <mergeCell ref="F12:F14"/>
    <mergeCell ref="G12:H13"/>
    <mergeCell ref="I12:I14"/>
    <mergeCell ref="J12:J14"/>
    <mergeCell ref="BJ10:BJ14"/>
    <mergeCell ref="V10:AB11"/>
    <mergeCell ref="AC10:AC14"/>
    <mergeCell ref="AD10:AD14"/>
    <mergeCell ref="AE10:AE14"/>
    <mergeCell ref="AF10:AF14"/>
    <mergeCell ref="BD10:BD14"/>
    <mergeCell ref="AP12:AQ12"/>
    <mergeCell ref="AR12:AS13"/>
    <mergeCell ref="AH13:AH14"/>
    <mergeCell ref="AI13:AI14"/>
    <mergeCell ref="AH10:AS10"/>
    <mergeCell ref="AT10:AU13"/>
    <mergeCell ref="AV10:AZ12"/>
    <mergeCell ref="BA10:BB13"/>
    <mergeCell ref="BC10:BC14"/>
  </mergeCells>
  <pageMargins left="0.11811023622047245" right="0" top="0" bottom="0" header="0.39370078740157483" footer="0"/>
  <pageSetup paperSize="9" scale="55" fitToWidth="3" fitToHeight="0" orientation="portrait" r:id="rId1"/>
  <rowBreaks count="1" manualBreakCount="1">
    <brk id="88" min="1" max="66" man="1"/>
  </rowBreaks>
  <colBreaks count="1" manualBreakCount="1">
    <brk id="41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тариф 01.01.2021</vt:lpstr>
      <vt:lpstr>Лист1</vt:lpstr>
      <vt:lpstr>ВАКАНСИЯ</vt:lpstr>
      <vt:lpstr>ВАКАНСИЯ!Область_печати</vt:lpstr>
      <vt:lpstr>Лист1!Область_печати</vt:lpstr>
      <vt:lpstr>'тариф 01.01.2021'!Область_печати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2021-03-01T09:29:01Z</cp:lastPrinted>
  <dcterms:created xsi:type="dcterms:W3CDTF">2020-01-08T04:57:44Z</dcterms:created>
  <dcterms:modified xsi:type="dcterms:W3CDTF">2021-03-15T03:55:53Z</dcterms:modified>
</cp:coreProperties>
</file>