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901B463B-5C9C-411E-900A-7F5A9522C247}" xr6:coauthVersionLast="46" xr6:coauthVersionMax="46" xr10:uidLastSave="{00000000-0000-0000-0000-000000000000}"/>
  <bookViews>
    <workbookView xWindow="-120" yWindow="-120" windowWidth="19440" windowHeight="8640" activeTab="1" xr2:uid="{00000000-000D-0000-FFFF-FFFF00000000}"/>
  </bookViews>
  <sheets>
    <sheet name="Кенес  ШТ 01.09.2020" sheetId="1" r:id="rId1"/>
    <sheet name="Вакансия " sheetId="2" r:id="rId2"/>
  </sheets>
  <definedNames>
    <definedName name="_xlnm.Print_Area" localSheetId="1">'Вакансия '!$B$4:$AC$49</definedName>
    <definedName name="_xlnm.Print_Area" localSheetId="0">'Кенес  ШТ 01.09.2020'!$B$4:$AC$50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2" l="1"/>
  <c r="K41" i="2" s="1"/>
  <c r="R31" i="2"/>
  <c r="S31" i="2"/>
  <c r="T31" i="2"/>
  <c r="V31" i="2"/>
  <c r="W31" i="2"/>
  <c r="Y31" i="2"/>
  <c r="K40" i="2"/>
  <c r="N40" i="2"/>
  <c r="O40" i="2"/>
  <c r="Q40" i="2"/>
  <c r="R40" i="2"/>
  <c r="S40" i="2"/>
  <c r="T40" i="2"/>
  <c r="U40" i="2"/>
  <c r="V40" i="2"/>
  <c r="Y40" i="2"/>
  <c r="O45" i="2" l="1"/>
  <c r="Z44" i="2" l="1"/>
  <c r="AA44" i="2" s="1"/>
  <c r="AB44" i="2" s="1"/>
  <c r="Y43" i="2"/>
  <c r="X43" i="2"/>
  <c r="W43" i="2"/>
  <c r="V43" i="2"/>
  <c r="U43" i="2"/>
  <c r="T43" i="2"/>
  <c r="S43" i="2"/>
  <c r="R43" i="2"/>
  <c r="Q43" i="2"/>
  <c r="O43" i="2"/>
  <c r="N43" i="2"/>
  <c r="L43" i="2"/>
  <c r="X42" i="2"/>
  <c r="M42" i="2"/>
  <c r="L42" i="2"/>
  <c r="L39" i="2"/>
  <c r="M39" i="2" s="1"/>
  <c r="L38" i="2"/>
  <c r="M38" i="2" s="1"/>
  <c r="L37" i="2"/>
  <c r="M37" i="2" s="1"/>
  <c r="X36" i="2"/>
  <c r="W36" i="2"/>
  <c r="W40" i="2" s="1"/>
  <c r="W41" i="2" s="1"/>
  <c r="W45" i="2" s="1"/>
  <c r="L36" i="2"/>
  <c r="M36" i="2" s="1"/>
  <c r="L35" i="2"/>
  <c r="M35" i="2" s="1"/>
  <c r="L34" i="2"/>
  <c r="M34" i="2" s="1"/>
  <c r="X33" i="2"/>
  <c r="M33" i="2"/>
  <c r="L33" i="2"/>
  <c r="X32" i="2"/>
  <c r="M32" i="2"/>
  <c r="L32" i="2"/>
  <c r="Y41" i="2"/>
  <c r="Y45" i="2" s="1"/>
  <c r="V41" i="2"/>
  <c r="V45" i="2" s="1"/>
  <c r="T41" i="2"/>
  <c r="T45" i="2" s="1"/>
  <c r="S41" i="2"/>
  <c r="S45" i="2" s="1"/>
  <c r="R41" i="2"/>
  <c r="R45" i="2" s="1"/>
  <c r="K43" i="2"/>
  <c r="L30" i="2"/>
  <c r="M30" i="2" s="1"/>
  <c r="L29" i="2"/>
  <c r="M29" i="2" s="1"/>
  <c r="L28" i="2"/>
  <c r="M28" i="2" s="1"/>
  <c r="M27" i="2"/>
  <c r="L27" i="2"/>
  <c r="M26" i="2"/>
  <c r="N26" i="2" s="1"/>
  <c r="O26" i="2" s="1"/>
  <c r="L26" i="2"/>
  <c r="L25" i="2"/>
  <c r="M25" i="2" s="1"/>
  <c r="L24" i="2"/>
  <c r="M24" i="2" s="1"/>
  <c r="M23" i="2"/>
  <c r="L23" i="2"/>
  <c r="L22" i="2"/>
  <c r="M22" i="2" s="1"/>
  <c r="L21" i="2"/>
  <c r="M21" i="2" s="1"/>
  <c r="X20" i="2"/>
  <c r="X31" i="2" s="1"/>
  <c r="M20" i="2"/>
  <c r="O20" i="2" s="1"/>
  <c r="L20" i="2"/>
  <c r="M19" i="2"/>
  <c r="L19" i="2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L31" i="2" s="1"/>
  <c r="N13" i="2" l="1"/>
  <c r="Q13" i="2" s="1"/>
  <c r="O13" i="2"/>
  <c r="N22" i="2"/>
  <c r="O22" i="2" s="1"/>
  <c r="P28" i="2"/>
  <c r="Z28" i="2" s="1"/>
  <c r="AA28" i="2" s="1"/>
  <c r="AB28" i="2" s="1"/>
  <c r="N16" i="2"/>
  <c r="Z19" i="2"/>
  <c r="AC19" i="2" s="1"/>
  <c r="M40" i="2"/>
  <c r="P38" i="2"/>
  <c r="Z38" i="2" s="1"/>
  <c r="N19" i="2"/>
  <c r="X40" i="2"/>
  <c r="X41" i="2" s="1"/>
  <c r="X45" i="2" s="1"/>
  <c r="Z36" i="2"/>
  <c r="AC36" i="2" s="1"/>
  <c r="O19" i="2"/>
  <c r="Z27" i="2"/>
  <c r="P29" i="2"/>
  <c r="Z29" i="2" s="1"/>
  <c r="AC29" i="2" s="1"/>
  <c r="L40" i="2"/>
  <c r="AC44" i="2"/>
  <c r="N24" i="2"/>
  <c r="N21" i="2"/>
  <c r="P36" i="2"/>
  <c r="P39" i="2"/>
  <c r="Z39" i="2" s="1"/>
  <c r="AC39" i="2" s="1"/>
  <c r="N23" i="2"/>
  <c r="N25" i="2"/>
  <c r="O25" i="2" s="1"/>
  <c r="P27" i="2"/>
  <c r="N30" i="2"/>
  <c r="P35" i="2"/>
  <c r="Z35" i="2" s="1"/>
  <c r="AC35" i="2" s="1"/>
  <c r="P37" i="2"/>
  <c r="Z37" i="2" s="1"/>
  <c r="AC37" i="2" s="1"/>
  <c r="L41" i="2"/>
  <c r="L45" i="2" s="1"/>
  <c r="M12" i="2"/>
  <c r="N14" i="2"/>
  <c r="N15" i="2"/>
  <c r="N17" i="2"/>
  <c r="N18" i="2"/>
  <c r="P20" i="2"/>
  <c r="Z20" i="2" s="1"/>
  <c r="AC20" i="2" s="1"/>
  <c r="P32" i="2"/>
  <c r="P33" i="2"/>
  <c r="Z33" i="2" s="1"/>
  <c r="AC33" i="2" s="1"/>
  <c r="P34" i="2"/>
  <c r="Z34" i="2" s="1"/>
  <c r="AC34" i="2" s="1"/>
  <c r="M43" i="2"/>
  <c r="P42" i="2"/>
  <c r="P43" i="2" s="1"/>
  <c r="P13" i="2"/>
  <c r="P19" i="2"/>
  <c r="P22" i="2"/>
  <c r="Z22" i="2" s="1"/>
  <c r="AC22" i="2" s="1"/>
  <c r="P26" i="2"/>
  <c r="Z26" i="2" s="1"/>
  <c r="AC26" i="2" s="1"/>
  <c r="X36" i="1"/>
  <c r="AC38" i="2" l="1"/>
  <c r="AA38" i="2"/>
  <c r="AB38" i="2" s="1"/>
  <c r="Q31" i="2"/>
  <c r="Q41" i="2" s="1"/>
  <c r="Q45" i="2" s="1"/>
  <c r="P40" i="2"/>
  <c r="O14" i="2"/>
  <c r="Z14" i="2" s="1"/>
  <c r="AC14" i="2" s="1"/>
  <c r="Z32" i="2"/>
  <c r="AC32" i="2" s="1"/>
  <c r="AC28" i="2"/>
  <c r="Z42" i="2"/>
  <c r="AC42" i="2" s="1"/>
  <c r="O17" i="2"/>
  <c r="Z17" i="2" s="1"/>
  <c r="AC17" i="2" s="1"/>
  <c r="M31" i="2"/>
  <c r="AC27" i="2"/>
  <c r="O30" i="2"/>
  <c r="P30" i="2" s="1"/>
  <c r="Z30" i="2" s="1"/>
  <c r="AC30" i="2" s="1"/>
  <c r="O16" i="2"/>
  <c r="Z13" i="2"/>
  <c r="AC13" i="2" s="1"/>
  <c r="AA37" i="2"/>
  <c r="AB37" i="2" s="1"/>
  <c r="AA27" i="2"/>
  <c r="AB27" i="2" s="1"/>
  <c r="AA26" i="2"/>
  <c r="AB26" i="2" s="1"/>
  <c r="AA22" i="2"/>
  <c r="AB22" i="2" s="1"/>
  <c r="AA20" i="2"/>
  <c r="AB20" i="2" s="1"/>
  <c r="Z43" i="2"/>
  <c r="AC43" i="2"/>
  <c r="AA42" i="2"/>
  <c r="AA43" i="2" s="1"/>
  <c r="N12" i="2"/>
  <c r="M41" i="2"/>
  <c r="M45" i="2" s="1"/>
  <c r="AA39" i="2"/>
  <c r="AB39" i="2" s="1"/>
  <c r="AA36" i="2"/>
  <c r="AB36" i="2" s="1"/>
  <c r="AA13" i="2"/>
  <c r="AB13" i="2" s="1"/>
  <c r="AA35" i="2"/>
  <c r="AB35" i="2" s="1"/>
  <c r="P17" i="2"/>
  <c r="P14" i="2"/>
  <c r="O23" i="2"/>
  <c r="O21" i="2"/>
  <c r="P21" i="2" s="1"/>
  <c r="O24" i="2"/>
  <c r="P24" i="2" s="1"/>
  <c r="AA33" i="2"/>
  <c r="AB33" i="2" s="1"/>
  <c r="AA19" i="2"/>
  <c r="AB19" i="2" s="1"/>
  <c r="AA34" i="2"/>
  <c r="AB34" i="2" s="1"/>
  <c r="O18" i="2"/>
  <c r="O15" i="2"/>
  <c r="AA29" i="2"/>
  <c r="AB29" i="2" s="1"/>
  <c r="P25" i="2"/>
  <c r="Z25" i="2" s="1"/>
  <c r="AC25" i="2" s="1"/>
  <c r="X20" i="1"/>
  <c r="N31" i="2" l="1"/>
  <c r="N41" i="2" s="1"/>
  <c r="N45" i="2" s="1"/>
  <c r="P16" i="2"/>
  <c r="U16" i="2"/>
  <c r="P15" i="2"/>
  <c r="Z15" i="2" s="1"/>
  <c r="AC15" i="2" s="1"/>
  <c r="O12" i="2"/>
  <c r="O31" i="2" s="1"/>
  <c r="AB42" i="2"/>
  <c r="AB43" i="2" s="1"/>
  <c r="Z16" i="2"/>
  <c r="Z24" i="2"/>
  <c r="AC24" i="2" s="1"/>
  <c r="AA14" i="2"/>
  <c r="AB14" i="2" s="1"/>
  <c r="U21" i="2"/>
  <c r="AA25" i="2"/>
  <c r="AB25" i="2" s="1"/>
  <c r="AB32" i="2"/>
  <c r="AB40" i="2" s="1"/>
  <c r="AC40" i="2"/>
  <c r="Z40" i="2"/>
  <c r="AA32" i="2"/>
  <c r="AA40" i="2" s="1"/>
  <c r="P18" i="2"/>
  <c r="Z18" i="2" s="1"/>
  <c r="AC18" i="2" s="1"/>
  <c r="AA30" i="2"/>
  <c r="AB30" i="2" s="1"/>
  <c r="AA17" i="2"/>
  <c r="AB17" i="2" s="1"/>
  <c r="P23" i="2"/>
  <c r="Z23" i="2" s="1"/>
  <c r="AC23" i="2" s="1"/>
  <c r="Z21" i="2" l="1"/>
  <c r="AC21" i="2" s="1"/>
  <c r="AC16" i="2"/>
  <c r="AA16" i="2"/>
  <c r="AB16" i="2" s="1"/>
  <c r="U31" i="2"/>
  <c r="U41" i="2" s="1"/>
  <c r="U45" i="2" s="1"/>
  <c r="P12" i="2"/>
  <c r="AA18" i="2"/>
  <c r="AB18" i="2" s="1"/>
  <c r="AA23" i="2"/>
  <c r="AB23" i="2" s="1"/>
  <c r="AA15" i="2"/>
  <c r="AB15" i="2" s="1"/>
  <c r="AA24" i="2"/>
  <c r="AB24" i="2" s="1"/>
  <c r="Q40" i="1"/>
  <c r="R40" i="1"/>
  <c r="S40" i="1"/>
  <c r="T40" i="1"/>
  <c r="U40" i="1"/>
  <c r="V40" i="1"/>
  <c r="Y40" i="1"/>
  <c r="Q43" i="1"/>
  <c r="R43" i="1"/>
  <c r="S43" i="1"/>
  <c r="T43" i="1"/>
  <c r="U43" i="1"/>
  <c r="V43" i="1"/>
  <c r="W43" i="1"/>
  <c r="P31" i="2" l="1"/>
  <c r="P41" i="2" s="1"/>
  <c r="P45" i="2" s="1"/>
  <c r="Z12" i="2"/>
  <c r="AC12" i="2" s="1"/>
  <c r="AA21" i="2"/>
  <c r="AB21" i="2" s="1"/>
  <c r="AA12" i="2"/>
  <c r="AC31" i="2"/>
  <c r="AC41" i="2" s="1"/>
  <c r="AC45" i="2" s="1"/>
  <c r="O45" i="1"/>
  <c r="Z44" i="1"/>
  <c r="AC44" i="1" s="1"/>
  <c r="Y43" i="1"/>
  <c r="O43" i="1"/>
  <c r="N43" i="1"/>
  <c r="L43" i="1"/>
  <c r="X42" i="1"/>
  <c r="X43" i="1" s="1"/>
  <c r="L42" i="1"/>
  <c r="M42" i="1" s="1"/>
  <c r="V45" i="1"/>
  <c r="N40" i="1"/>
  <c r="K40" i="1"/>
  <c r="L39" i="1"/>
  <c r="M39" i="1" s="1"/>
  <c r="L38" i="1"/>
  <c r="M38" i="1" s="1"/>
  <c r="P38" i="1" s="1"/>
  <c r="L37" i="1"/>
  <c r="M37" i="1" s="1"/>
  <c r="W36" i="1"/>
  <c r="W40" i="1" s="1"/>
  <c r="L36" i="1"/>
  <c r="M36" i="1" s="1"/>
  <c r="L35" i="1"/>
  <c r="M35" i="1" s="1"/>
  <c r="L34" i="1"/>
  <c r="M34" i="1" s="1"/>
  <c r="X33" i="1"/>
  <c r="M33" i="1"/>
  <c r="L33" i="1"/>
  <c r="X32" i="1"/>
  <c r="X40" i="1" s="1"/>
  <c r="L32" i="1"/>
  <c r="M32" i="1" s="1"/>
  <c r="Y31" i="1"/>
  <c r="Y41" i="1" s="1"/>
  <c r="Y45" i="1" s="1"/>
  <c r="X31" i="1"/>
  <c r="W31" i="1"/>
  <c r="V31" i="1"/>
  <c r="V41" i="1" s="1"/>
  <c r="T31" i="1"/>
  <c r="S31" i="1"/>
  <c r="R31" i="1"/>
  <c r="R41" i="1" s="1"/>
  <c r="R45" i="1" s="1"/>
  <c r="K31" i="1"/>
  <c r="K41" i="1" s="1"/>
  <c r="K43" i="1" s="1"/>
  <c r="L30" i="1"/>
  <c r="M30" i="1" s="1"/>
  <c r="L29" i="1"/>
  <c r="M29" i="1" s="1"/>
  <c r="P29" i="1" s="1"/>
  <c r="L28" i="1"/>
  <c r="M28" i="1" s="1"/>
  <c r="M27" i="1"/>
  <c r="L27" i="1"/>
  <c r="N26" i="1"/>
  <c r="L26" i="1"/>
  <c r="M26" i="1" s="1"/>
  <c r="L25" i="1"/>
  <c r="M25" i="1" s="1"/>
  <c r="L24" i="1"/>
  <c r="M24" i="1" s="1"/>
  <c r="M23" i="1"/>
  <c r="N23" i="1" s="1"/>
  <c r="L23" i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M14" i="1"/>
  <c r="L14" i="1"/>
  <c r="L13" i="1"/>
  <c r="M13" i="1" s="1"/>
  <c r="L12" i="1"/>
  <c r="T41" i="1" l="1"/>
  <c r="T45" i="1" s="1"/>
  <c r="AA44" i="1"/>
  <c r="AB44" i="1" s="1"/>
  <c r="AA31" i="2"/>
  <c r="AA41" i="2" s="1"/>
  <c r="AA45" i="2" s="1"/>
  <c r="Z31" i="2"/>
  <c r="U16" i="1"/>
  <c r="S41" i="1"/>
  <c r="S45" i="1" s="1"/>
  <c r="W41" i="1"/>
  <c r="W45" i="1" s="1"/>
  <c r="Z38" i="1"/>
  <c r="AB12" i="2"/>
  <c r="AB31" i="2" s="1"/>
  <c r="AB41" i="2" s="1"/>
  <c r="AB45" i="2" s="1"/>
  <c r="L40" i="1"/>
  <c r="X41" i="1"/>
  <c r="X45" i="1" s="1"/>
  <c r="N15" i="1"/>
  <c r="O15" i="1" s="1"/>
  <c r="N17" i="1"/>
  <c r="N14" i="1"/>
  <c r="N21" i="1"/>
  <c r="N24" i="1"/>
  <c r="N25" i="1"/>
  <c r="P36" i="1"/>
  <c r="Z36" i="1" s="1"/>
  <c r="AC38" i="1"/>
  <c r="AA38" i="1"/>
  <c r="AB38" i="1" s="1"/>
  <c r="M12" i="1"/>
  <c r="L31" i="1"/>
  <c r="N19" i="1"/>
  <c r="O25" i="1"/>
  <c r="Z29" i="1"/>
  <c r="P37" i="1"/>
  <c r="Z37" i="1" s="1"/>
  <c r="P39" i="1"/>
  <c r="Z39" i="1" s="1"/>
  <c r="N16" i="1"/>
  <c r="P20" i="1"/>
  <c r="N22" i="1"/>
  <c r="P28" i="1"/>
  <c r="Z28" i="1" s="1"/>
  <c r="N30" i="1"/>
  <c r="P35" i="1"/>
  <c r="Z35" i="1" s="1"/>
  <c r="M43" i="1"/>
  <c r="P42" i="1"/>
  <c r="P43" i="1" s="1"/>
  <c r="N13" i="1"/>
  <c r="O16" i="1"/>
  <c r="P16" i="1" s="1"/>
  <c r="N18" i="1"/>
  <c r="O20" i="1"/>
  <c r="O22" i="1"/>
  <c r="P22" i="1" s="1"/>
  <c r="O23" i="1"/>
  <c r="O26" i="1"/>
  <c r="P27" i="1"/>
  <c r="Z27" i="1" s="1"/>
  <c r="Z32" i="1"/>
  <c r="M40" i="1"/>
  <c r="P32" i="1"/>
  <c r="P33" i="1"/>
  <c r="Z33" i="1" s="1"/>
  <c r="P34" i="1"/>
  <c r="Z34" i="1"/>
  <c r="P23" i="1" l="1"/>
  <c r="Z23" i="1" s="1"/>
  <c r="Z22" i="1"/>
  <c r="AC22" i="1" s="1"/>
  <c r="Z41" i="2"/>
  <c r="Z45" i="2" s="1"/>
  <c r="O21" i="1"/>
  <c r="P21" i="1" s="1"/>
  <c r="O30" i="1"/>
  <c r="P30" i="1" s="1"/>
  <c r="Z30" i="1" s="1"/>
  <c r="L41" i="1"/>
  <c r="L45" i="1" s="1"/>
  <c r="Z40" i="1"/>
  <c r="AC39" i="1"/>
  <c r="AA39" i="1"/>
  <c r="AB39" i="1" s="1"/>
  <c r="AC33" i="1"/>
  <c r="AA33" i="1"/>
  <c r="AB33" i="1" s="1"/>
  <c r="AA27" i="1"/>
  <c r="AB27" i="1" s="1"/>
  <c r="AC27" i="1"/>
  <c r="AA37" i="1"/>
  <c r="AB37" i="1" s="1"/>
  <c r="AC37" i="1"/>
  <c r="P17" i="1"/>
  <c r="AA28" i="1"/>
  <c r="AB28" i="1" s="1"/>
  <c r="AC28" i="1"/>
  <c r="AA36" i="1"/>
  <c r="AC36" i="1"/>
  <c r="AC32" i="1"/>
  <c r="AA32" i="1"/>
  <c r="AB32" i="1" s="1"/>
  <c r="O18" i="1"/>
  <c r="P18" i="1" s="1"/>
  <c r="Z18" i="1" s="1"/>
  <c r="P26" i="1"/>
  <c r="Z26" i="1" s="1"/>
  <c r="AA35" i="1"/>
  <c r="AB35" i="1" s="1"/>
  <c r="AC35" i="1"/>
  <c r="N12" i="1"/>
  <c r="N31" i="1" s="1"/>
  <c r="N41" i="1" s="1"/>
  <c r="N45" i="1" s="1"/>
  <c r="M31" i="1"/>
  <c r="M41" i="1" s="1"/>
  <c r="O12" i="1"/>
  <c r="P25" i="1"/>
  <c r="Z25" i="1" s="1"/>
  <c r="O24" i="1"/>
  <c r="P15" i="1"/>
  <c r="Z15" i="1" s="1"/>
  <c r="AA34" i="1"/>
  <c r="AB34" i="1" s="1"/>
  <c r="AC34" i="1"/>
  <c r="P40" i="1"/>
  <c r="Z20" i="1"/>
  <c r="O13" i="1"/>
  <c r="O19" i="1"/>
  <c r="P19" i="1" s="1"/>
  <c r="AC29" i="1"/>
  <c r="AA29" i="1"/>
  <c r="AB29" i="1" s="1"/>
  <c r="O14" i="1"/>
  <c r="P14" i="1" s="1"/>
  <c r="O17" i="1"/>
  <c r="Z42" i="1"/>
  <c r="AC30" i="1" l="1"/>
  <c r="AA30" i="1"/>
  <c r="AB30" i="1" s="1"/>
  <c r="AA23" i="1"/>
  <c r="AB23" i="1" s="1"/>
  <c r="AC23" i="1"/>
  <c r="AC40" i="1"/>
  <c r="AA22" i="1"/>
  <c r="AB22" i="1" s="1"/>
  <c r="U21" i="1"/>
  <c r="U31" i="1" s="1"/>
  <c r="U41" i="1" s="1"/>
  <c r="U45" i="1" s="1"/>
  <c r="P24" i="1"/>
  <c r="Z24" i="1" s="1"/>
  <c r="AB36" i="1"/>
  <c r="AB40" i="1" s="1"/>
  <c r="AA40" i="1"/>
  <c r="AA15" i="1"/>
  <c r="AB15" i="1" s="1"/>
  <c r="AC15" i="1"/>
  <c r="AA18" i="1"/>
  <c r="AC18" i="1"/>
  <c r="AB18" i="1"/>
  <c r="Z43" i="1"/>
  <c r="AA42" i="1"/>
  <c r="AA43" i="1" s="1"/>
  <c r="AC42" i="1"/>
  <c r="AC43" i="1" s="1"/>
  <c r="O31" i="1"/>
  <c r="Q13" i="1"/>
  <c r="Q31" i="1" s="1"/>
  <c r="Q41" i="1" s="1"/>
  <c r="Q45" i="1" s="1"/>
  <c r="P13" i="1"/>
  <c r="Z13" i="1" s="1"/>
  <c r="P12" i="1"/>
  <c r="P31" i="1" s="1"/>
  <c r="P41" i="1" s="1"/>
  <c r="P45" i="1" s="1"/>
  <c r="Z14" i="1"/>
  <c r="Z19" i="1"/>
  <c r="AB26" i="1"/>
  <c r="AC26" i="1"/>
  <c r="AA26" i="1"/>
  <c r="AA25" i="1"/>
  <c r="AC25" i="1"/>
  <c r="AB25" i="1"/>
  <c r="Z16" i="1"/>
  <c r="Z17" i="1"/>
  <c r="AC20" i="1"/>
  <c r="AA20" i="1"/>
  <c r="AB20" i="1" s="1"/>
  <c r="M45" i="1"/>
  <c r="AA24" i="1" l="1"/>
  <c r="AB24" i="1" s="1"/>
  <c r="AC24" i="1"/>
  <c r="Z21" i="1"/>
  <c r="AC13" i="1"/>
  <c r="AA13" i="1"/>
  <c r="AB13" i="1" s="1"/>
  <c r="AC19" i="1"/>
  <c r="AA19" i="1"/>
  <c r="AB19" i="1" s="1"/>
  <c r="AB42" i="1"/>
  <c r="AB43" i="1" s="1"/>
  <c r="AB17" i="1"/>
  <c r="AA17" i="1"/>
  <c r="AC17" i="1"/>
  <c r="AC16" i="1"/>
  <c r="AB16" i="1"/>
  <c r="AA16" i="1"/>
  <c r="Z12" i="1"/>
  <c r="AA14" i="1"/>
  <c r="AB14" i="1" s="1"/>
  <c r="AC14" i="1"/>
  <c r="AA21" i="1" l="1"/>
  <c r="AB21" i="1"/>
  <c r="AC21" i="1"/>
  <c r="Z31" i="1"/>
  <c r="Z41" i="1" s="1"/>
  <c r="Z45" i="1" s="1"/>
  <c r="AA12" i="1"/>
  <c r="AA31" i="1" s="1"/>
  <c r="AA41" i="1" s="1"/>
  <c r="AA45" i="1" s="1"/>
  <c r="AC12" i="1"/>
  <c r="AC31" i="1" s="1"/>
  <c r="AC41" i="1" s="1"/>
  <c r="AC45" i="1" s="1"/>
  <c r="AB12" i="1"/>
  <c r="AB31" i="1" s="1"/>
  <c r="AB41" i="1" s="1"/>
  <c r="AB45" i="1" s="1"/>
</calcChain>
</file>

<file path=xl/sharedStrings.xml><?xml version="1.0" encoding="utf-8"?>
<sst xmlns="http://schemas.openxmlformats.org/spreadsheetml/2006/main" count="356" uniqueCount="124">
  <si>
    <t>СОГЛАСОВАНО</t>
  </si>
  <si>
    <t>УТВЕРЖДАЮ</t>
  </si>
  <si>
    <t>Руководитель ОО района Шал акына</t>
  </si>
  <si>
    <t>Количество учащихся предшколы</t>
  </si>
  <si>
    <t>Директор Кенесовской СШ</t>
  </si>
  <si>
    <t>________________Жангужинов К.А.</t>
  </si>
  <si>
    <t>Количество класс-комплектов</t>
  </si>
  <si>
    <t>10+1</t>
  </si>
  <si>
    <t>________________ Мухамедин С.К</t>
  </si>
  <si>
    <t>Количество учащихся</t>
  </si>
  <si>
    <t>БДО</t>
  </si>
  <si>
    <t>№</t>
  </si>
  <si>
    <t>фамилия, имя, отчество</t>
  </si>
  <si>
    <t>должность</t>
  </si>
  <si>
    <t>образо-вание</t>
  </si>
  <si>
    <t>стаж</t>
  </si>
  <si>
    <t>кв. кат</t>
  </si>
  <si>
    <t>КОТ</t>
  </si>
  <si>
    <t>коэф</t>
  </si>
  <si>
    <t>ед</t>
  </si>
  <si>
    <t>ставка</t>
  </si>
  <si>
    <t>з/пл</t>
  </si>
  <si>
    <t>10% из РБ</t>
  </si>
  <si>
    <t>за раб. в ноч. вр.</t>
  </si>
  <si>
    <t>за работу в празд дни</t>
  </si>
  <si>
    <t>перераб</t>
  </si>
  <si>
    <t>п/э</t>
  </si>
  <si>
    <t>за работу с дизсред</t>
  </si>
  <si>
    <t>за вредные усл тр</t>
  </si>
  <si>
    <t>зарплата в мес.</t>
  </si>
  <si>
    <t>разница РБ</t>
  </si>
  <si>
    <t>МБ</t>
  </si>
  <si>
    <t>зарплата в  год</t>
  </si>
  <si>
    <t>Мухамедин С.К.</t>
  </si>
  <si>
    <t>директор</t>
  </si>
  <si>
    <t>высш</t>
  </si>
  <si>
    <t>А1-4</t>
  </si>
  <si>
    <t>Нурмаганбетова А.М.</t>
  </si>
  <si>
    <t>зам УР</t>
  </si>
  <si>
    <t>п-и</t>
  </si>
  <si>
    <t>А2-4</t>
  </si>
  <si>
    <t>зам ВР</t>
  </si>
  <si>
    <t>пед-психолог</t>
  </si>
  <si>
    <t>Сыздыкова Н.Б.</t>
  </si>
  <si>
    <t>соц пед</t>
  </si>
  <si>
    <t>б/к</t>
  </si>
  <si>
    <t>В3-4</t>
  </si>
  <si>
    <t xml:space="preserve">Кенжалина М.С </t>
  </si>
  <si>
    <t>библиотек</t>
  </si>
  <si>
    <t>С2</t>
  </si>
  <si>
    <t>Бактубаев А.М.</t>
  </si>
  <si>
    <t>В2-2</t>
  </si>
  <si>
    <t xml:space="preserve">восп предшк </t>
  </si>
  <si>
    <t>ср.сп.</t>
  </si>
  <si>
    <t>В4-4</t>
  </si>
  <si>
    <t>Базарбекова Б.К.</t>
  </si>
  <si>
    <t>лаборант мульт</t>
  </si>
  <si>
    <t>В2-4</t>
  </si>
  <si>
    <t>лаборант инфор</t>
  </si>
  <si>
    <t>Беккужина З Е</t>
  </si>
  <si>
    <t>лаборант физики</t>
  </si>
  <si>
    <t>Садвокасов Н.Е.</t>
  </si>
  <si>
    <t>завхоз</t>
  </si>
  <si>
    <t>ср сп</t>
  </si>
  <si>
    <t>С3</t>
  </si>
  <si>
    <t>делопроиз</t>
  </si>
  <si>
    <t>D</t>
  </si>
  <si>
    <t>Ганиева А С</t>
  </si>
  <si>
    <t>вожатый</t>
  </si>
  <si>
    <t>итого</t>
  </si>
  <si>
    <t>Тажибаева Ж.К.</t>
  </si>
  <si>
    <t>повар</t>
  </si>
  <si>
    <t xml:space="preserve">Баятова Ж.С </t>
  </si>
  <si>
    <r>
      <t>к</t>
    </r>
    <r>
      <rPr>
        <sz val="9"/>
        <rFont val="Times New Roman"/>
        <family val="1"/>
        <charset val="204"/>
      </rPr>
      <t>кух.работник</t>
    </r>
  </si>
  <si>
    <t>2р</t>
  </si>
  <si>
    <t>электромонтер</t>
  </si>
  <si>
    <t>1р</t>
  </si>
  <si>
    <t>Исабаев А.З</t>
  </si>
  <si>
    <t>рабочий</t>
  </si>
  <si>
    <t>3р</t>
  </si>
  <si>
    <t>1</t>
  </si>
  <si>
    <t>Уборщик СП</t>
  </si>
  <si>
    <t>вахтер</t>
  </si>
  <si>
    <t>слес-сантехник</t>
  </si>
  <si>
    <t>Жумабеков Е.С.</t>
  </si>
  <si>
    <t>дворник</t>
  </si>
  <si>
    <t xml:space="preserve">и т о г о </t>
  </si>
  <si>
    <t xml:space="preserve">В С Е Г О </t>
  </si>
  <si>
    <t>Сайдалин Н.Б., Байдалин Е.А., Капаров А.Ж   Курсаков Е.К.</t>
  </si>
  <si>
    <t>кочегар</t>
  </si>
  <si>
    <t>ВСЕГО:</t>
  </si>
  <si>
    <t xml:space="preserve">ср.з/пл 1 кочегара </t>
  </si>
  <si>
    <t>Методист по кадрам</t>
  </si>
  <si>
    <t>Председатель Совета Профсоюзов</t>
  </si>
  <si>
    <t xml:space="preserve">Гл. специалист </t>
  </si>
  <si>
    <t>Зубкова Е.А</t>
  </si>
  <si>
    <t>Шайкенова С Т</t>
  </si>
  <si>
    <t>25% сельские</t>
  </si>
  <si>
    <t>Кенжалина А.К., Садвокасова А.Ж.,Кошумбаева А.К</t>
  </si>
  <si>
    <t>В2-3</t>
  </si>
  <si>
    <t>лаборант биол</t>
  </si>
  <si>
    <t>Байдалина Д Ж</t>
  </si>
  <si>
    <t>4 р</t>
  </si>
  <si>
    <t>орг НВП</t>
  </si>
  <si>
    <t>доплата 40% ООП</t>
  </si>
  <si>
    <t>Тукенова Шынар Еншибаевна</t>
  </si>
  <si>
    <t>В</t>
  </si>
  <si>
    <t>секретарь</t>
  </si>
  <si>
    <t>Адырбаева М Ж</t>
  </si>
  <si>
    <t>"___"_________________2021 г.</t>
  </si>
  <si>
    <t>ШТАТНОЕ РАСПИСАНИЕ  Кенесовской средней школы на 01 января 2021 года</t>
  </si>
  <si>
    <t>Сапарова Ж Т Д/О</t>
  </si>
  <si>
    <t>Бигужина Т.</t>
  </si>
  <si>
    <t>Кенжалина М.С.</t>
  </si>
  <si>
    <t>Мухамедин Т.К</t>
  </si>
  <si>
    <t>Мухамедин Т.К.</t>
  </si>
  <si>
    <t>Гл. экономист                                                       Тасмагамбетова К.М.</t>
  </si>
  <si>
    <t xml:space="preserve">Мухамедина К.М. </t>
  </si>
  <si>
    <t>Заведующая РМК</t>
  </si>
  <si>
    <t>Касенова Ж.А</t>
  </si>
  <si>
    <t>Тукенова Ш.Е.</t>
  </si>
  <si>
    <t>Доплата за категорию 50%</t>
  </si>
  <si>
    <t>Жаркинбаев Д.Т.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</si>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</sst>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color indexed="2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 vertical="center" wrapText="1"/>
    </xf>
    <xf numFmtId="3" fontId="6" fillId="0" borderId="2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/>
    <xf numFmtId="0" fontId="11" fillId="0" borderId="1" xfId="0" applyFont="1" applyBorder="1"/>
    <xf numFmtId="0" fontId="11" fillId="0" borderId="2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3" xfId="0" applyFont="1" applyBorder="1"/>
    <xf numFmtId="0" fontId="15" fillId="0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1" xfId="0" applyFont="1" applyBorder="1"/>
    <xf numFmtId="0" fontId="16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>
      <alignment vertical="center" wrapText="1"/>
    </xf>
    <xf numFmtId="1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3" fillId="0" borderId="4" xfId="0" applyFont="1" applyBorder="1"/>
    <xf numFmtId="0" fontId="1" fillId="0" borderId="5" xfId="0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4" fillId="0" borderId="1" xfId="0" applyFont="1" applyBorder="1" applyAlignment="1">
      <alignment vertical="center" wrapText="1"/>
    </xf>
    <xf numFmtId="0" fontId="1" fillId="0" borderId="1" xfId="0" applyFont="1" applyBorder="1"/>
    <xf numFmtId="0" fontId="4" fillId="0" borderId="1" xfId="0" applyFont="1" applyBorder="1"/>
    <xf numFmtId="0" fontId="18" fillId="0" borderId="0" xfId="0" applyFont="1"/>
    <xf numFmtId="0" fontId="19" fillId="0" borderId="0" xfId="0" applyFont="1"/>
    <xf numFmtId="0" fontId="18" fillId="0" borderId="0" xfId="0" applyFont="1" applyBorder="1" applyAlignment="1">
      <alignment vertical="center" wrapText="1"/>
    </xf>
    <xf numFmtId="0" fontId="20" fillId="0" borderId="0" xfId="0" applyFont="1"/>
    <xf numFmtId="0" fontId="1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1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2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C54"/>
  <sheetViews>
    <sheetView zoomScaleNormal="100" zoomScaleSheetLayoutView="48" workbookViewId="0">
      <selection activeCell="J30" sqref="J30"/>
    </sheetView>
  </sheetViews>
  <sheetFormatPr defaultRowHeight="15" x14ac:dyDescent="0.25"/>
  <cols>
    <col min="2" max="2" width="5.140625" customWidth="1"/>
    <col min="3" max="3" width="23.140625" customWidth="1"/>
    <col min="4" max="4" width="15.7109375" customWidth="1"/>
    <col min="6" max="6" width="6.28515625" customWidth="1"/>
    <col min="7" max="7" width="6.5703125" customWidth="1"/>
    <col min="9" max="9" width="7.28515625" customWidth="1"/>
    <col min="10" max="10" width="7.140625" customWidth="1"/>
    <col min="11" max="11" width="6.140625" customWidth="1"/>
    <col min="12" max="12" width="8.28515625" customWidth="1"/>
    <col min="13" max="13" width="9" customWidth="1"/>
    <col min="14" max="14" width="8.28515625" customWidth="1"/>
    <col min="15" max="15" width="7.5703125" customWidth="1"/>
    <col min="16" max="17" width="7.7109375" style="82" customWidth="1"/>
    <col min="18" max="18" width="7.42578125" customWidth="1"/>
    <col min="19" max="19" width="6.42578125" customWidth="1"/>
    <col min="20" max="20" width="7.140625" customWidth="1"/>
    <col min="21" max="21" width="7.5703125" customWidth="1"/>
    <col min="22" max="22" width="6.7109375" hidden="1" customWidth="1"/>
    <col min="23" max="23" width="7" customWidth="1"/>
    <col min="24" max="24" width="7.28515625" customWidth="1"/>
    <col min="25" max="25" width="7.42578125" hidden="1" customWidth="1"/>
  </cols>
  <sheetData>
    <row r="3" spans="2:29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79"/>
      <c r="Q3" s="7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29" x14ac:dyDescent="0.25">
      <c r="B4" s="1"/>
      <c r="C4" s="2" t="s">
        <v>0</v>
      </c>
      <c r="D4" s="1"/>
      <c r="E4" s="1"/>
      <c r="F4" s="1"/>
      <c r="G4" s="1"/>
      <c r="H4" s="1"/>
      <c r="I4" s="1"/>
      <c r="J4" s="1"/>
      <c r="K4" s="1"/>
      <c r="L4" s="3"/>
      <c r="M4" s="3"/>
      <c r="N4" s="1"/>
      <c r="O4" s="1"/>
      <c r="P4" s="80"/>
      <c r="Q4" s="80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" t="s">
        <v>1</v>
      </c>
    </row>
    <row r="5" spans="2:29" x14ac:dyDescent="0.25">
      <c r="B5" s="1"/>
      <c r="C5" s="2" t="s">
        <v>2</v>
      </c>
      <c r="D5" s="1"/>
      <c r="E5" s="1"/>
      <c r="F5" s="1"/>
      <c r="G5" s="1"/>
      <c r="H5" s="1"/>
      <c r="I5" s="1"/>
      <c r="J5" s="1" t="s">
        <v>3</v>
      </c>
      <c r="K5" s="1"/>
      <c r="L5" s="1"/>
      <c r="M5" s="3"/>
      <c r="N5" s="1">
        <v>3</v>
      </c>
      <c r="O5" s="1"/>
      <c r="P5" s="80"/>
      <c r="Q5" s="8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 t="s">
        <v>4</v>
      </c>
    </row>
    <row r="6" spans="2:29" x14ac:dyDescent="0.25">
      <c r="B6" s="1"/>
      <c r="C6" s="2" t="s">
        <v>5</v>
      </c>
      <c r="D6" s="1"/>
      <c r="E6" s="5"/>
      <c r="F6" s="1"/>
      <c r="G6" s="1"/>
      <c r="H6" s="1"/>
      <c r="I6" s="1"/>
      <c r="J6" s="1" t="s">
        <v>6</v>
      </c>
      <c r="K6" s="1"/>
      <c r="L6" s="1"/>
      <c r="M6" s="3"/>
      <c r="N6" s="5" t="s">
        <v>7</v>
      </c>
      <c r="O6" s="5"/>
      <c r="P6" s="80"/>
      <c r="Q6" s="80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" t="s">
        <v>8</v>
      </c>
    </row>
    <row r="7" spans="2:29" x14ac:dyDescent="0.25">
      <c r="B7" s="1"/>
      <c r="C7" s="2" t="s">
        <v>109</v>
      </c>
      <c r="D7" s="1"/>
      <c r="E7" s="1"/>
      <c r="F7" s="1"/>
      <c r="G7" s="1"/>
      <c r="H7" s="1"/>
      <c r="I7" s="1"/>
      <c r="J7" s="1" t="s">
        <v>9</v>
      </c>
      <c r="K7" s="1"/>
      <c r="L7" s="1"/>
      <c r="M7" s="1"/>
      <c r="N7" s="1">
        <v>61</v>
      </c>
      <c r="O7" s="1"/>
      <c r="P7" s="79"/>
      <c r="Q7" s="79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" t="s">
        <v>109</v>
      </c>
    </row>
    <row r="8" spans="2:29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9"/>
      <c r="Q8" s="79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6"/>
    </row>
    <row r="9" spans="2:29" x14ac:dyDescent="0.25">
      <c r="B9" s="102" t="s">
        <v>110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</row>
    <row r="10" spans="2:29" x14ac:dyDescent="0.25">
      <c r="B10" s="1"/>
      <c r="C10" s="7" t="s">
        <v>10</v>
      </c>
      <c r="D10" s="8">
        <v>17697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9"/>
      <c r="Q10" s="7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51" x14ac:dyDescent="0.25">
      <c r="B11" s="9" t="s">
        <v>11</v>
      </c>
      <c r="C11" s="9" t="s">
        <v>12</v>
      </c>
      <c r="D11" s="9" t="s">
        <v>13</v>
      </c>
      <c r="E11" s="9" t="s">
        <v>14</v>
      </c>
      <c r="F11" s="9" t="s">
        <v>15</v>
      </c>
      <c r="G11" s="9" t="s">
        <v>16</v>
      </c>
      <c r="H11" s="9" t="s">
        <v>10</v>
      </c>
      <c r="I11" s="9" t="s">
        <v>17</v>
      </c>
      <c r="J11" s="9" t="s">
        <v>18</v>
      </c>
      <c r="K11" s="9" t="s">
        <v>19</v>
      </c>
      <c r="L11" s="9" t="s">
        <v>20</v>
      </c>
      <c r="M11" s="9" t="s">
        <v>21</v>
      </c>
      <c r="N11" s="10">
        <v>0.5</v>
      </c>
      <c r="O11" s="10" t="s">
        <v>97</v>
      </c>
      <c r="P11" s="9" t="s">
        <v>22</v>
      </c>
      <c r="Q11" s="9" t="s">
        <v>121</v>
      </c>
      <c r="R11" s="11" t="s">
        <v>23</v>
      </c>
      <c r="S11" s="12" t="s">
        <v>24</v>
      </c>
      <c r="T11" s="12" t="s">
        <v>25</v>
      </c>
      <c r="U11" s="12" t="s">
        <v>26</v>
      </c>
      <c r="V11" s="12">
        <v>0.35</v>
      </c>
      <c r="W11" s="12" t="s">
        <v>27</v>
      </c>
      <c r="X11" s="12" t="s">
        <v>28</v>
      </c>
      <c r="Y11" s="12" t="s">
        <v>104</v>
      </c>
      <c r="Z11" s="9" t="s">
        <v>29</v>
      </c>
      <c r="AA11" s="9" t="s">
        <v>30</v>
      </c>
      <c r="AB11" s="9" t="s">
        <v>31</v>
      </c>
      <c r="AC11" s="9" t="s">
        <v>32</v>
      </c>
    </row>
    <row r="12" spans="2:29" ht="18.75" customHeight="1" x14ac:dyDescent="0.25">
      <c r="B12" s="13">
        <v>1</v>
      </c>
      <c r="C12" s="14" t="s">
        <v>33</v>
      </c>
      <c r="D12" s="14" t="s">
        <v>34</v>
      </c>
      <c r="E12" s="15" t="s">
        <v>35</v>
      </c>
      <c r="F12" s="16">
        <v>9.09</v>
      </c>
      <c r="G12" s="13" t="s">
        <v>26</v>
      </c>
      <c r="H12" s="13">
        <v>17697</v>
      </c>
      <c r="I12" s="17" t="s">
        <v>36</v>
      </c>
      <c r="J12" s="18">
        <v>5.03</v>
      </c>
      <c r="K12" s="13">
        <v>1</v>
      </c>
      <c r="L12" s="19">
        <f>H12*J12</f>
        <v>89015.91</v>
      </c>
      <c r="M12" s="19">
        <f>K12*L12</f>
        <v>89015.91</v>
      </c>
      <c r="N12" s="19">
        <f>M12*50/100</f>
        <v>44507.955000000002</v>
      </c>
      <c r="O12" s="19">
        <f>(M12+N12)*25%</f>
        <v>33380.966249999998</v>
      </c>
      <c r="P12" s="19">
        <f>SUM(M12+N12+O12)*10%</f>
        <v>16690.483124999999</v>
      </c>
      <c r="Q12" s="19"/>
      <c r="R12" s="19"/>
      <c r="S12" s="20"/>
      <c r="T12" s="20"/>
      <c r="U12" s="20"/>
      <c r="V12" s="20"/>
      <c r="W12" s="20"/>
      <c r="X12" s="20"/>
      <c r="Y12" s="20"/>
      <c r="Z12" s="20">
        <f>M12+N12+O12+P12+R12+S12+T12+U12+V12+W12+X12+Y12</f>
        <v>183595.31437499999</v>
      </c>
      <c r="AA12" s="20">
        <f t="shared" ref="AA12:AA30" si="0">Z12-N12-O12-P12</f>
        <v>89015.91</v>
      </c>
      <c r="AB12" s="20">
        <f>Z12-AA12</f>
        <v>94579.404374999984</v>
      </c>
      <c r="AC12" s="19">
        <f>Z12*4</f>
        <v>734381.25749999995</v>
      </c>
    </row>
    <row r="13" spans="2:29" ht="18" customHeight="1" x14ac:dyDescent="0.25">
      <c r="B13" s="13">
        <v>2</v>
      </c>
      <c r="C13" s="14" t="s">
        <v>37</v>
      </c>
      <c r="D13" s="14" t="s">
        <v>38</v>
      </c>
      <c r="E13" s="15" t="s">
        <v>35</v>
      </c>
      <c r="F13" s="16">
        <v>33.049999999999997</v>
      </c>
      <c r="G13" s="13" t="s">
        <v>39</v>
      </c>
      <c r="H13" s="13">
        <v>17697</v>
      </c>
      <c r="I13" s="17" t="s">
        <v>40</v>
      </c>
      <c r="J13" s="21">
        <v>5.39</v>
      </c>
      <c r="K13" s="13">
        <v>1</v>
      </c>
      <c r="L13" s="19">
        <f>H13*J13</f>
        <v>95386.829999999987</v>
      </c>
      <c r="M13" s="19">
        <f>K13*L13</f>
        <v>95386.829999999987</v>
      </c>
      <c r="N13" s="19">
        <f t="shared" ref="N13:N26" si="1">M13*50/100</f>
        <v>47693.414999999994</v>
      </c>
      <c r="O13" s="19">
        <f t="shared" ref="O13:O30" si="2">(M13+N13)*25%</f>
        <v>35770.061249999999</v>
      </c>
      <c r="P13" s="19">
        <f t="shared" ref="P13:P20" si="3">SUM(M13+N13+O13)*10%</f>
        <v>17885.030624999999</v>
      </c>
      <c r="Q13" s="19">
        <f>(M13+N13+O13)*50%</f>
        <v>89425.153124999997</v>
      </c>
      <c r="R13" s="19"/>
      <c r="S13" s="20"/>
      <c r="T13" s="20"/>
      <c r="U13" s="20"/>
      <c r="V13" s="20"/>
      <c r="W13" s="20"/>
      <c r="X13" s="20"/>
      <c r="Y13" s="20"/>
      <c r="Z13" s="20">
        <f>M13+N13+O13+P13+R13+S13+T13+U13+V13+W13+X13+Y13+Q13</f>
        <v>286160.49</v>
      </c>
      <c r="AA13" s="20">
        <f t="shared" si="0"/>
        <v>184811.98312500003</v>
      </c>
      <c r="AB13" s="20">
        <f t="shared" ref="AB13:AB44" si="4">Z13-AA13</f>
        <v>101348.50687499996</v>
      </c>
      <c r="AC13" s="19">
        <f t="shared" ref="AC13:AC44" si="5">Z13*4</f>
        <v>1144641.96</v>
      </c>
    </row>
    <row r="14" spans="2:29" ht="24.75" customHeight="1" x14ac:dyDescent="0.25">
      <c r="B14" s="13">
        <v>3</v>
      </c>
      <c r="C14" s="22" t="s">
        <v>105</v>
      </c>
      <c r="D14" s="22" t="s">
        <v>41</v>
      </c>
      <c r="E14" s="24" t="s">
        <v>35</v>
      </c>
      <c r="F14" s="26">
        <v>38.03</v>
      </c>
      <c r="G14" s="25" t="s">
        <v>106</v>
      </c>
      <c r="H14" s="25">
        <v>17697</v>
      </c>
      <c r="I14" s="27" t="s">
        <v>40</v>
      </c>
      <c r="J14" s="26">
        <v>5.39</v>
      </c>
      <c r="K14" s="25">
        <v>0.5</v>
      </c>
      <c r="L14" s="28">
        <f>H14*J14</f>
        <v>95386.829999999987</v>
      </c>
      <c r="M14" s="28">
        <f t="shared" ref="M14:M28" si="6">K14*L14</f>
        <v>47693.414999999994</v>
      </c>
      <c r="N14" s="19">
        <f t="shared" si="1"/>
        <v>23846.707499999997</v>
      </c>
      <c r="O14" s="28">
        <f t="shared" si="2"/>
        <v>17885.030624999999</v>
      </c>
      <c r="P14" s="28">
        <f t="shared" si="3"/>
        <v>8942.5153124999997</v>
      </c>
      <c r="Q14" s="28"/>
      <c r="R14" s="19"/>
      <c r="S14" s="20"/>
      <c r="T14" s="20"/>
      <c r="U14" s="20"/>
      <c r="V14" s="20"/>
      <c r="W14" s="20"/>
      <c r="X14" s="20"/>
      <c r="Y14" s="20"/>
      <c r="Z14" s="20">
        <f t="shared" ref="Z14:Z30" si="7">M14+N14+O14+P14+R14+S14+T14+U14+V14+W14+X14+Y14</f>
        <v>98367.66843749999</v>
      </c>
      <c r="AA14" s="20">
        <f t="shared" si="0"/>
        <v>47693.415000000001</v>
      </c>
      <c r="AB14" s="20">
        <f t="shared" si="4"/>
        <v>50674.253437499989</v>
      </c>
      <c r="AC14" s="19">
        <f t="shared" si="5"/>
        <v>393470.67374999996</v>
      </c>
    </row>
    <row r="15" spans="2:29" ht="18" customHeight="1" x14ac:dyDescent="0.25">
      <c r="B15" s="13">
        <v>4</v>
      </c>
      <c r="C15" s="22" t="s">
        <v>108</v>
      </c>
      <c r="D15" s="14" t="s">
        <v>41</v>
      </c>
      <c r="E15" s="23" t="s">
        <v>35</v>
      </c>
      <c r="F15" s="16">
        <v>20.079999999999998</v>
      </c>
      <c r="G15" s="13" t="s">
        <v>39</v>
      </c>
      <c r="H15" s="13">
        <v>17697</v>
      </c>
      <c r="I15" s="17" t="s">
        <v>40</v>
      </c>
      <c r="J15" s="16">
        <v>5.24</v>
      </c>
      <c r="K15" s="13">
        <v>0.5</v>
      </c>
      <c r="L15" s="19">
        <f>H15*J15</f>
        <v>92732.28</v>
      </c>
      <c r="M15" s="19">
        <f>K15*L15</f>
        <v>46366.14</v>
      </c>
      <c r="N15" s="19">
        <f t="shared" si="1"/>
        <v>23183.07</v>
      </c>
      <c r="O15" s="19">
        <f t="shared" si="2"/>
        <v>17387.302499999998</v>
      </c>
      <c r="P15" s="19">
        <f t="shared" si="3"/>
        <v>8693.651249999999</v>
      </c>
      <c r="Q15" s="19"/>
      <c r="R15" s="19"/>
      <c r="S15" s="20"/>
      <c r="T15" s="20"/>
      <c r="U15" s="20"/>
      <c r="V15" s="20"/>
      <c r="W15" s="20"/>
      <c r="X15" s="20"/>
      <c r="Y15" s="20"/>
      <c r="Z15" s="20">
        <f t="shared" si="7"/>
        <v>95630.163749999978</v>
      </c>
      <c r="AA15" s="20">
        <f t="shared" si="0"/>
        <v>46366.13999999997</v>
      </c>
      <c r="AB15" s="20">
        <f t="shared" si="4"/>
        <v>49264.023750000008</v>
      </c>
      <c r="AC15" s="19">
        <f t="shared" si="5"/>
        <v>382520.65499999991</v>
      </c>
    </row>
    <row r="16" spans="2:29" ht="20.25" customHeight="1" x14ac:dyDescent="0.25">
      <c r="B16" s="13">
        <v>5</v>
      </c>
      <c r="C16" s="83" t="s">
        <v>111</v>
      </c>
      <c r="D16" s="22" t="s">
        <v>42</v>
      </c>
      <c r="E16" s="24" t="s">
        <v>35</v>
      </c>
      <c r="F16" s="16">
        <v>8.0500000000000007</v>
      </c>
      <c r="G16" s="13" t="s">
        <v>26</v>
      </c>
      <c r="H16" s="13">
        <v>17697</v>
      </c>
      <c r="I16" s="17" t="s">
        <v>99</v>
      </c>
      <c r="J16" s="16">
        <v>4.74</v>
      </c>
      <c r="K16" s="13"/>
      <c r="L16" s="19">
        <f t="shared" ref="L16:L43" si="8">H16*J16</f>
        <v>83883.78</v>
      </c>
      <c r="M16" s="19">
        <f t="shared" si="6"/>
        <v>0</v>
      </c>
      <c r="N16" s="19">
        <f t="shared" si="1"/>
        <v>0</v>
      </c>
      <c r="O16" s="19">
        <f t="shared" si="2"/>
        <v>0</v>
      </c>
      <c r="P16" s="19">
        <f t="shared" si="3"/>
        <v>0</v>
      </c>
      <c r="Q16" s="19"/>
      <c r="R16" s="19"/>
      <c r="S16" s="20"/>
      <c r="T16" s="20"/>
      <c r="U16" s="29">
        <f>(M16+N16+O16)*35%</f>
        <v>0</v>
      </c>
      <c r="V16" s="20"/>
      <c r="W16" s="20"/>
      <c r="X16" s="20"/>
      <c r="Y16" s="20"/>
      <c r="Z16" s="20">
        <f t="shared" si="7"/>
        <v>0</v>
      </c>
      <c r="AA16" s="20">
        <f t="shared" si="0"/>
        <v>0</v>
      </c>
      <c r="AB16" s="20">
        <f t="shared" si="4"/>
        <v>0</v>
      </c>
      <c r="AC16" s="19">
        <f t="shared" si="5"/>
        <v>0</v>
      </c>
    </row>
    <row r="17" spans="2:29" ht="19.5" customHeight="1" x14ac:dyDescent="0.25">
      <c r="B17" s="13">
        <v>12</v>
      </c>
      <c r="C17" s="85" t="s">
        <v>117</v>
      </c>
      <c r="D17" s="22" t="s">
        <v>42</v>
      </c>
      <c r="E17" s="24" t="s">
        <v>35</v>
      </c>
      <c r="F17" s="26">
        <v>8.0500000000000007</v>
      </c>
      <c r="G17" s="25">
        <v>2</v>
      </c>
      <c r="H17" s="13">
        <v>17697</v>
      </c>
      <c r="I17" s="27" t="s">
        <v>57</v>
      </c>
      <c r="J17" s="26">
        <v>4.33</v>
      </c>
      <c r="K17" s="25">
        <v>0.5</v>
      </c>
      <c r="L17" s="19">
        <f t="shared" si="8"/>
        <v>76628.009999999995</v>
      </c>
      <c r="M17" s="28">
        <f>K17*L17</f>
        <v>38314.004999999997</v>
      </c>
      <c r="N17" s="19">
        <f t="shared" si="1"/>
        <v>19157.002499999999</v>
      </c>
      <c r="O17" s="19">
        <f t="shared" si="2"/>
        <v>14367.751874999998</v>
      </c>
      <c r="P17" s="28">
        <f>SUM(M17+N17+O17)*10%</f>
        <v>7183.8759375</v>
      </c>
      <c r="Q17" s="28"/>
      <c r="R17" s="30"/>
      <c r="S17" s="31"/>
      <c r="T17" s="31"/>
      <c r="U17" s="31"/>
      <c r="V17" s="31"/>
      <c r="W17" s="31"/>
      <c r="X17" s="31"/>
      <c r="Y17" s="31"/>
      <c r="Z17" s="20">
        <f t="shared" si="7"/>
        <v>79022.635312499988</v>
      </c>
      <c r="AA17" s="20">
        <f t="shared" si="0"/>
        <v>38314.004999999983</v>
      </c>
      <c r="AB17" s="20">
        <f t="shared" si="4"/>
        <v>40708.630312500005</v>
      </c>
      <c r="AC17" s="19">
        <f t="shared" si="5"/>
        <v>316090.54124999995</v>
      </c>
    </row>
    <row r="18" spans="2:29" ht="19.5" customHeight="1" x14ac:dyDescent="0.25">
      <c r="B18" s="13">
        <v>12</v>
      </c>
      <c r="C18" s="22" t="s">
        <v>117</v>
      </c>
      <c r="D18" s="22" t="s">
        <v>42</v>
      </c>
      <c r="E18" s="24" t="s">
        <v>35</v>
      </c>
      <c r="F18" s="26">
        <v>8.0500000000000007</v>
      </c>
      <c r="G18" s="25">
        <v>2</v>
      </c>
      <c r="H18" s="13">
        <v>17697</v>
      </c>
      <c r="I18" s="27" t="s">
        <v>57</v>
      </c>
      <c r="J18" s="26">
        <v>4.33</v>
      </c>
      <c r="K18" s="25">
        <v>0.5</v>
      </c>
      <c r="L18" s="19">
        <f t="shared" si="8"/>
        <v>76628.009999999995</v>
      </c>
      <c r="M18" s="28">
        <f>K18*L18</f>
        <v>38314.004999999997</v>
      </c>
      <c r="N18" s="19">
        <f t="shared" si="1"/>
        <v>19157.002499999999</v>
      </c>
      <c r="O18" s="19">
        <f t="shared" si="2"/>
        <v>14367.751874999998</v>
      </c>
      <c r="P18" s="28">
        <f>SUM(M18+N18+O18)*10%</f>
        <v>7183.8759375</v>
      </c>
      <c r="Q18" s="28"/>
      <c r="R18" s="30"/>
      <c r="S18" s="31"/>
      <c r="T18" s="31"/>
      <c r="U18" s="31"/>
      <c r="V18" s="31"/>
      <c r="W18" s="31"/>
      <c r="X18" s="31"/>
      <c r="Y18" s="31"/>
      <c r="Z18" s="20">
        <f t="shared" si="7"/>
        <v>79022.635312499988</v>
      </c>
      <c r="AA18" s="20">
        <f t="shared" si="0"/>
        <v>38314.004999999983</v>
      </c>
      <c r="AB18" s="20">
        <f t="shared" si="4"/>
        <v>40708.630312500005</v>
      </c>
      <c r="AC18" s="19">
        <f t="shared" si="5"/>
        <v>316090.54124999995</v>
      </c>
    </row>
    <row r="19" spans="2:29" ht="15.75" customHeight="1" x14ac:dyDescent="0.25">
      <c r="B19" s="13">
        <v>6</v>
      </c>
      <c r="C19" s="14" t="s">
        <v>43</v>
      </c>
      <c r="D19" s="14" t="s">
        <v>44</v>
      </c>
      <c r="E19" s="15" t="s">
        <v>35</v>
      </c>
      <c r="F19" s="16">
        <v>32.03</v>
      </c>
      <c r="G19" s="13" t="s">
        <v>45</v>
      </c>
      <c r="H19" s="13">
        <v>17697</v>
      </c>
      <c r="I19" s="17" t="s">
        <v>46</v>
      </c>
      <c r="J19" s="15">
        <v>4.1900000000000004</v>
      </c>
      <c r="K19" s="13">
        <v>0.5</v>
      </c>
      <c r="L19" s="19">
        <f t="shared" si="8"/>
        <v>74150.430000000008</v>
      </c>
      <c r="M19" s="19">
        <f t="shared" si="6"/>
        <v>37075.215000000004</v>
      </c>
      <c r="N19" s="19">
        <f t="shared" si="1"/>
        <v>18537.607500000002</v>
      </c>
      <c r="O19" s="19">
        <f t="shared" si="2"/>
        <v>13903.205625000002</v>
      </c>
      <c r="P19" s="19">
        <f t="shared" si="3"/>
        <v>6951.6028125000012</v>
      </c>
      <c r="Q19" s="19"/>
      <c r="R19" s="19"/>
      <c r="S19" s="20"/>
      <c r="T19" s="20"/>
      <c r="U19" s="29"/>
      <c r="V19" s="20"/>
      <c r="W19" s="20"/>
      <c r="X19" s="20"/>
      <c r="Y19" s="20"/>
      <c r="Z19" s="20">
        <f t="shared" si="7"/>
        <v>76467.630937500013</v>
      </c>
      <c r="AA19" s="20">
        <f t="shared" si="0"/>
        <v>37075.215000000011</v>
      </c>
      <c r="AB19" s="20">
        <f t="shared" si="4"/>
        <v>39392.415937500002</v>
      </c>
      <c r="AC19" s="19">
        <f t="shared" si="5"/>
        <v>305870.52375000005</v>
      </c>
    </row>
    <row r="20" spans="2:29" ht="19.5" customHeight="1" x14ac:dyDescent="0.25">
      <c r="B20" s="25">
        <v>7</v>
      </c>
      <c r="C20" s="22" t="s">
        <v>47</v>
      </c>
      <c r="D20" s="22" t="s">
        <v>48</v>
      </c>
      <c r="E20" s="24" t="s">
        <v>35</v>
      </c>
      <c r="F20" s="26">
        <v>10.01</v>
      </c>
      <c r="G20" s="25" t="s">
        <v>45</v>
      </c>
      <c r="H20" s="25">
        <v>17697</v>
      </c>
      <c r="I20" s="27" t="s">
        <v>49</v>
      </c>
      <c r="J20" s="24">
        <v>4.46</v>
      </c>
      <c r="K20" s="25">
        <v>0.5</v>
      </c>
      <c r="L20" s="19">
        <f t="shared" si="8"/>
        <v>78928.62</v>
      </c>
      <c r="M20" s="28">
        <f>K20*L20</f>
        <v>39464.31</v>
      </c>
      <c r="N20" s="19"/>
      <c r="O20" s="19">
        <f t="shared" si="2"/>
        <v>9866.0774999999994</v>
      </c>
      <c r="P20" s="19">
        <f t="shared" si="3"/>
        <v>4933.0387499999997</v>
      </c>
      <c r="Q20" s="19"/>
      <c r="R20" s="28"/>
      <c r="S20" s="29"/>
      <c r="T20" s="29"/>
      <c r="U20" s="29"/>
      <c r="V20" s="29"/>
      <c r="W20" s="29"/>
      <c r="X20" s="29">
        <f>D10*30%*K20</f>
        <v>2654.5499999999997</v>
      </c>
      <c r="Y20" s="29"/>
      <c r="Z20" s="20">
        <f t="shared" si="7"/>
        <v>56917.97625</v>
      </c>
      <c r="AA20" s="20">
        <f t="shared" si="0"/>
        <v>42118.86</v>
      </c>
      <c r="AB20" s="20">
        <f t="shared" si="4"/>
        <v>14799.116249999999</v>
      </c>
      <c r="AC20" s="19">
        <f t="shared" si="5"/>
        <v>227671.905</v>
      </c>
    </row>
    <row r="21" spans="2:29" ht="17.25" customHeight="1" x14ac:dyDescent="0.25">
      <c r="B21" s="13">
        <v>9</v>
      </c>
      <c r="C21" s="22" t="s">
        <v>50</v>
      </c>
      <c r="D21" s="22" t="s">
        <v>103</v>
      </c>
      <c r="E21" s="24" t="s">
        <v>35</v>
      </c>
      <c r="F21" s="26">
        <v>14.05</v>
      </c>
      <c r="G21" s="25" t="s">
        <v>26</v>
      </c>
      <c r="H21" s="13">
        <v>17697</v>
      </c>
      <c r="I21" s="27" t="s">
        <v>51</v>
      </c>
      <c r="J21" s="24">
        <v>4.95</v>
      </c>
      <c r="K21" s="25">
        <v>1</v>
      </c>
      <c r="L21" s="19">
        <f t="shared" si="8"/>
        <v>87600.150000000009</v>
      </c>
      <c r="M21" s="28">
        <f t="shared" si="6"/>
        <v>87600.150000000009</v>
      </c>
      <c r="N21" s="19">
        <f t="shared" si="1"/>
        <v>43800.074999999997</v>
      </c>
      <c r="O21" s="19">
        <f t="shared" si="2"/>
        <v>32850.056250000001</v>
      </c>
      <c r="P21" s="28">
        <f>SUM(M21+N21+O21)*10%</f>
        <v>16425.028125000001</v>
      </c>
      <c r="Q21" s="28"/>
      <c r="R21" s="28"/>
      <c r="S21" s="29"/>
      <c r="T21" s="29"/>
      <c r="U21" s="29">
        <f>(M21+N21+O21)*35%</f>
        <v>57487.598437499997</v>
      </c>
      <c r="V21" s="29"/>
      <c r="W21" s="29"/>
      <c r="X21" s="29"/>
      <c r="Y21" s="29"/>
      <c r="Z21" s="20">
        <f t="shared" si="7"/>
        <v>238162.90781250002</v>
      </c>
      <c r="AA21" s="20">
        <f t="shared" si="0"/>
        <v>145087.74843750001</v>
      </c>
      <c r="AB21" s="20">
        <f t="shared" si="4"/>
        <v>93075.159375000017</v>
      </c>
      <c r="AC21" s="19">
        <f t="shared" si="5"/>
        <v>952651.63125000009</v>
      </c>
    </row>
    <row r="22" spans="2:29" ht="21.75" customHeight="1" x14ac:dyDescent="0.25">
      <c r="B22" s="25">
        <v>10</v>
      </c>
      <c r="C22" s="22" t="s">
        <v>67</v>
      </c>
      <c r="D22" s="22" t="s">
        <v>52</v>
      </c>
      <c r="E22" s="24" t="s">
        <v>53</v>
      </c>
      <c r="F22" s="26">
        <v>13.04</v>
      </c>
      <c r="G22" s="25" t="s">
        <v>45</v>
      </c>
      <c r="H22" s="13">
        <v>17697</v>
      </c>
      <c r="I22" s="27" t="s">
        <v>54</v>
      </c>
      <c r="J22" s="26">
        <v>3.61</v>
      </c>
      <c r="K22" s="25">
        <v>0.5</v>
      </c>
      <c r="L22" s="19">
        <f>H22*J22</f>
        <v>63886.17</v>
      </c>
      <c r="M22" s="28">
        <f t="shared" si="6"/>
        <v>31943.084999999999</v>
      </c>
      <c r="N22" s="19">
        <f t="shared" si="1"/>
        <v>15971.5425</v>
      </c>
      <c r="O22" s="19">
        <f t="shared" si="2"/>
        <v>11978.656875000001</v>
      </c>
      <c r="P22" s="28">
        <f>SUM(M22+N22+O22)*10%</f>
        <v>5989.3284375000003</v>
      </c>
      <c r="Q22" s="28"/>
      <c r="R22" s="30"/>
      <c r="S22" s="31"/>
      <c r="T22" s="31"/>
      <c r="U22" s="31"/>
      <c r="V22" s="31"/>
      <c r="W22" s="31"/>
      <c r="X22" s="31"/>
      <c r="Y22" s="29"/>
      <c r="Z22" s="20">
        <f t="shared" si="7"/>
        <v>65882.61281250001</v>
      </c>
      <c r="AA22" s="20">
        <f t="shared" si="0"/>
        <v>31943.085000000014</v>
      </c>
      <c r="AB22" s="20">
        <f t="shared" si="4"/>
        <v>33939.527812499997</v>
      </c>
      <c r="AC22" s="19">
        <f t="shared" si="5"/>
        <v>263530.45125000004</v>
      </c>
    </row>
    <row r="23" spans="2:29" ht="17.25" customHeight="1" x14ac:dyDescent="0.25">
      <c r="B23" s="13">
        <v>11</v>
      </c>
      <c r="C23" s="14" t="s">
        <v>55</v>
      </c>
      <c r="D23" s="14" t="s">
        <v>56</v>
      </c>
      <c r="E23" s="24" t="s">
        <v>35</v>
      </c>
      <c r="F23" s="16">
        <v>40.049999999999997</v>
      </c>
      <c r="G23" s="25" t="s">
        <v>45</v>
      </c>
      <c r="H23" s="13">
        <v>17697</v>
      </c>
      <c r="I23" s="27" t="s">
        <v>57</v>
      </c>
      <c r="J23" s="26">
        <v>4.7300000000000004</v>
      </c>
      <c r="K23" s="25">
        <v>0.5</v>
      </c>
      <c r="L23" s="19">
        <f t="shared" si="8"/>
        <v>83706.810000000012</v>
      </c>
      <c r="M23" s="28">
        <f>K23*L23</f>
        <v>41853.405000000006</v>
      </c>
      <c r="N23" s="19">
        <f t="shared" si="1"/>
        <v>20926.702500000003</v>
      </c>
      <c r="O23" s="19">
        <f t="shared" si="2"/>
        <v>15695.026875000003</v>
      </c>
      <c r="P23" s="28">
        <f>SUM(M23+N23+O23)*10%</f>
        <v>7847.5134375000025</v>
      </c>
      <c r="Q23" s="28"/>
      <c r="R23" s="19"/>
      <c r="S23" s="20"/>
      <c r="T23" s="20"/>
      <c r="U23" s="20"/>
      <c r="V23" s="20"/>
      <c r="W23" s="20"/>
      <c r="X23" s="20"/>
      <c r="Y23" s="20"/>
      <c r="Z23" s="20">
        <f t="shared" si="7"/>
        <v>86322.647812500029</v>
      </c>
      <c r="AA23" s="20">
        <f t="shared" si="0"/>
        <v>41853.405000000021</v>
      </c>
      <c r="AB23" s="20">
        <f t="shared" si="4"/>
        <v>44469.242812500008</v>
      </c>
      <c r="AC23" s="19">
        <f t="shared" si="5"/>
        <v>345290.59125000011</v>
      </c>
    </row>
    <row r="24" spans="2:29" ht="19.5" customHeight="1" x14ac:dyDescent="0.25">
      <c r="B24" s="13">
        <v>12</v>
      </c>
      <c r="C24" s="85" t="s">
        <v>120</v>
      </c>
      <c r="D24" s="22" t="s">
        <v>58</v>
      </c>
      <c r="E24" s="24" t="s">
        <v>35</v>
      </c>
      <c r="F24" s="26">
        <v>38.03</v>
      </c>
      <c r="G24" s="25" t="s">
        <v>45</v>
      </c>
      <c r="H24" s="13">
        <v>17697</v>
      </c>
      <c r="I24" s="27" t="s">
        <v>57</v>
      </c>
      <c r="J24" s="26">
        <v>4.7300000000000004</v>
      </c>
      <c r="K24" s="25">
        <v>0.5</v>
      </c>
      <c r="L24" s="19">
        <f t="shared" si="8"/>
        <v>83706.810000000012</v>
      </c>
      <c r="M24" s="28">
        <f>K24*L24</f>
        <v>41853.405000000006</v>
      </c>
      <c r="N24" s="19">
        <f t="shared" si="1"/>
        <v>20926.702500000003</v>
      </c>
      <c r="O24" s="19">
        <f t="shared" si="2"/>
        <v>15695.026875000003</v>
      </c>
      <c r="P24" s="28">
        <f>SUM(M24+N24+O24)*10%</f>
        <v>7847.5134375000025</v>
      </c>
      <c r="Q24" s="28"/>
      <c r="R24" s="30"/>
      <c r="S24" s="31"/>
      <c r="T24" s="31"/>
      <c r="U24" s="31"/>
      <c r="V24" s="31"/>
      <c r="W24" s="31"/>
      <c r="X24" s="31"/>
      <c r="Y24" s="31"/>
      <c r="Z24" s="20">
        <f t="shared" si="7"/>
        <v>86322.647812500029</v>
      </c>
      <c r="AA24" s="20">
        <f t="shared" si="0"/>
        <v>41853.405000000021</v>
      </c>
      <c r="AB24" s="20">
        <f t="shared" si="4"/>
        <v>44469.242812500008</v>
      </c>
      <c r="AC24" s="19">
        <f t="shared" si="5"/>
        <v>345290.59125000011</v>
      </c>
    </row>
    <row r="25" spans="2:29" x14ac:dyDescent="0.25">
      <c r="B25" s="13">
        <v>13</v>
      </c>
      <c r="C25" s="22" t="s">
        <v>59</v>
      </c>
      <c r="D25" s="22" t="s">
        <v>60</v>
      </c>
      <c r="E25" s="24" t="s">
        <v>35</v>
      </c>
      <c r="F25" s="26">
        <v>9.01</v>
      </c>
      <c r="G25" s="25" t="s">
        <v>45</v>
      </c>
      <c r="H25" s="13">
        <v>17697</v>
      </c>
      <c r="I25" s="27" t="s">
        <v>57</v>
      </c>
      <c r="J25" s="26">
        <v>4.33</v>
      </c>
      <c r="K25" s="25">
        <v>0.5</v>
      </c>
      <c r="L25" s="19">
        <f t="shared" si="8"/>
        <v>76628.009999999995</v>
      </c>
      <c r="M25" s="28">
        <f t="shared" si="6"/>
        <v>38314.004999999997</v>
      </c>
      <c r="N25" s="19">
        <f t="shared" si="1"/>
        <v>19157.002499999999</v>
      </c>
      <c r="O25" s="19">
        <f t="shared" si="2"/>
        <v>14367.751874999998</v>
      </c>
      <c r="P25" s="28">
        <f t="shared" ref="P25:P30" si="9">SUM(M25+N25+O25)*10%</f>
        <v>7183.8759375</v>
      </c>
      <c r="Q25" s="28"/>
      <c r="R25" s="30"/>
      <c r="S25" s="31"/>
      <c r="T25" s="31"/>
      <c r="U25" s="31"/>
      <c r="V25" s="31"/>
      <c r="W25" s="31"/>
      <c r="X25" s="31"/>
      <c r="Y25" s="31"/>
      <c r="Z25" s="20">
        <f t="shared" si="7"/>
        <v>79022.635312499988</v>
      </c>
      <c r="AA25" s="20">
        <f t="shared" si="0"/>
        <v>38314.004999999983</v>
      </c>
      <c r="AB25" s="20">
        <f t="shared" si="4"/>
        <v>40708.630312500005</v>
      </c>
      <c r="AC25" s="19">
        <f t="shared" si="5"/>
        <v>316090.54124999995</v>
      </c>
    </row>
    <row r="26" spans="2:29" x14ac:dyDescent="0.25">
      <c r="B26" s="13">
        <v>14</v>
      </c>
      <c r="C26" s="32" t="s">
        <v>55</v>
      </c>
      <c r="D26" s="22" t="s">
        <v>100</v>
      </c>
      <c r="E26" s="24" t="s">
        <v>35</v>
      </c>
      <c r="F26" s="26">
        <v>40.049999999999997</v>
      </c>
      <c r="G26" s="25" t="s">
        <v>45</v>
      </c>
      <c r="H26" s="13">
        <v>17697</v>
      </c>
      <c r="I26" s="27" t="s">
        <v>57</v>
      </c>
      <c r="J26" s="33">
        <v>4.7300000000000004</v>
      </c>
      <c r="K26" s="25">
        <v>0.5</v>
      </c>
      <c r="L26" s="19">
        <f t="shared" si="8"/>
        <v>83706.810000000012</v>
      </c>
      <c r="M26" s="28">
        <f>K26*L26</f>
        <v>41853.405000000006</v>
      </c>
      <c r="N26" s="19">
        <f t="shared" si="1"/>
        <v>20926.702500000003</v>
      </c>
      <c r="O26" s="19">
        <f t="shared" si="2"/>
        <v>15695.026875000003</v>
      </c>
      <c r="P26" s="28">
        <f t="shared" si="9"/>
        <v>7847.5134375000025</v>
      </c>
      <c r="Q26" s="28"/>
      <c r="R26" s="28"/>
      <c r="S26" s="29"/>
      <c r="T26" s="29"/>
      <c r="U26" s="29"/>
      <c r="V26" s="29"/>
      <c r="W26" s="29"/>
      <c r="X26" s="29"/>
      <c r="Y26" s="29"/>
      <c r="Z26" s="20">
        <f t="shared" si="7"/>
        <v>86322.647812500029</v>
      </c>
      <c r="AA26" s="20">
        <f t="shared" si="0"/>
        <v>41853.405000000021</v>
      </c>
      <c r="AB26" s="20">
        <f t="shared" si="4"/>
        <v>44469.242812500008</v>
      </c>
      <c r="AC26" s="19">
        <f t="shared" si="5"/>
        <v>345290.59125000011</v>
      </c>
    </row>
    <row r="27" spans="2:29" x14ac:dyDescent="0.25">
      <c r="B27" s="13">
        <v>15</v>
      </c>
      <c r="C27" s="14" t="s">
        <v>61</v>
      </c>
      <c r="D27" s="14" t="s">
        <v>62</v>
      </c>
      <c r="E27" s="15" t="s">
        <v>63</v>
      </c>
      <c r="F27" s="34">
        <v>14.01</v>
      </c>
      <c r="G27" s="25" t="s">
        <v>45</v>
      </c>
      <c r="H27" s="13">
        <v>17697</v>
      </c>
      <c r="I27" s="17" t="s">
        <v>64</v>
      </c>
      <c r="J27" s="16">
        <v>3.57</v>
      </c>
      <c r="K27" s="13">
        <v>1</v>
      </c>
      <c r="L27" s="19">
        <f t="shared" si="8"/>
        <v>63178.289999999994</v>
      </c>
      <c r="M27" s="19">
        <f t="shared" si="6"/>
        <v>63178.289999999994</v>
      </c>
      <c r="N27" s="28"/>
      <c r="O27" s="19"/>
      <c r="P27" s="28">
        <f t="shared" si="9"/>
        <v>6317.8289999999997</v>
      </c>
      <c r="Q27" s="28"/>
      <c r="R27" s="19"/>
      <c r="S27" s="20"/>
      <c r="T27" s="20"/>
      <c r="U27" s="20"/>
      <c r="V27" s="20"/>
      <c r="W27" s="20"/>
      <c r="X27" s="20"/>
      <c r="Y27" s="20"/>
      <c r="Z27" s="20">
        <f t="shared" si="7"/>
        <v>69496.118999999992</v>
      </c>
      <c r="AA27" s="20">
        <f t="shared" si="0"/>
        <v>63178.289999999994</v>
      </c>
      <c r="AB27" s="20">
        <f t="shared" si="4"/>
        <v>6317.8289999999979</v>
      </c>
      <c r="AC27" s="19">
        <f t="shared" si="5"/>
        <v>277984.47599999997</v>
      </c>
    </row>
    <row r="28" spans="2:29" x14ac:dyDescent="0.25">
      <c r="B28" s="13">
        <v>16</v>
      </c>
      <c r="C28" s="22" t="s">
        <v>112</v>
      </c>
      <c r="D28" s="22" t="s">
        <v>107</v>
      </c>
      <c r="E28" s="24" t="s">
        <v>35</v>
      </c>
      <c r="F28" s="34">
        <v>0.04</v>
      </c>
      <c r="G28" s="25" t="s">
        <v>45</v>
      </c>
      <c r="H28" s="25">
        <v>17697</v>
      </c>
      <c r="I28" s="27" t="s">
        <v>66</v>
      </c>
      <c r="J28" s="26">
        <v>2.94</v>
      </c>
      <c r="K28" s="25">
        <v>1</v>
      </c>
      <c r="L28" s="19">
        <f t="shared" si="8"/>
        <v>52029.18</v>
      </c>
      <c r="M28" s="19">
        <f t="shared" si="6"/>
        <v>52029.18</v>
      </c>
      <c r="N28" s="28"/>
      <c r="O28" s="19"/>
      <c r="P28" s="28">
        <f t="shared" si="9"/>
        <v>5202.9180000000006</v>
      </c>
      <c r="Q28" s="28"/>
      <c r="R28" s="19"/>
      <c r="S28" s="20"/>
      <c r="T28" s="20"/>
      <c r="U28" s="20"/>
      <c r="V28" s="20"/>
      <c r="W28" s="20"/>
      <c r="X28" s="20"/>
      <c r="Y28" s="20"/>
      <c r="Z28" s="20">
        <f t="shared" si="7"/>
        <v>57232.097999999998</v>
      </c>
      <c r="AA28" s="20">
        <f t="shared" si="0"/>
        <v>52029.18</v>
      </c>
      <c r="AB28" s="20">
        <f t="shared" si="4"/>
        <v>5202.9179999999978</v>
      </c>
      <c r="AC28" s="19">
        <f t="shared" si="5"/>
        <v>228928.39199999999</v>
      </c>
    </row>
    <row r="29" spans="2:29" x14ac:dyDescent="0.25">
      <c r="B29" s="13">
        <v>16</v>
      </c>
      <c r="C29" s="22" t="s">
        <v>101</v>
      </c>
      <c r="D29" s="14" t="s">
        <v>65</v>
      </c>
      <c r="E29" s="15" t="s">
        <v>63</v>
      </c>
      <c r="F29" s="26">
        <v>0.04</v>
      </c>
      <c r="G29" s="25" t="s">
        <v>45</v>
      </c>
      <c r="H29" s="25">
        <v>17697</v>
      </c>
      <c r="I29" s="27" t="s">
        <v>66</v>
      </c>
      <c r="J29" s="33">
        <v>2.94</v>
      </c>
      <c r="K29" s="13">
        <v>1</v>
      </c>
      <c r="L29" s="19">
        <f t="shared" si="8"/>
        <v>52029.18</v>
      </c>
      <c r="M29" s="19">
        <f>K29*L29</f>
        <v>52029.18</v>
      </c>
      <c r="N29" s="28"/>
      <c r="O29" s="19"/>
      <c r="P29" s="28">
        <f t="shared" si="9"/>
        <v>5202.9180000000006</v>
      </c>
      <c r="Q29" s="28"/>
      <c r="R29" s="19"/>
      <c r="S29" s="20"/>
      <c r="T29" s="20"/>
      <c r="U29" s="20"/>
      <c r="V29" s="20"/>
      <c r="W29" s="20"/>
      <c r="X29" s="20"/>
      <c r="Y29" s="20"/>
      <c r="Z29" s="20">
        <f t="shared" si="7"/>
        <v>57232.097999999998</v>
      </c>
      <c r="AA29" s="20">
        <f t="shared" si="0"/>
        <v>52029.18</v>
      </c>
      <c r="AB29" s="20">
        <f t="shared" si="4"/>
        <v>5202.9179999999978</v>
      </c>
      <c r="AC29" s="19">
        <f t="shared" si="5"/>
        <v>228928.39199999999</v>
      </c>
    </row>
    <row r="30" spans="2:29" x14ac:dyDescent="0.25">
      <c r="B30" s="13">
        <v>17</v>
      </c>
      <c r="C30" s="22" t="s">
        <v>113</v>
      </c>
      <c r="D30" s="14" t="s">
        <v>68</v>
      </c>
      <c r="E30" s="15" t="s">
        <v>53</v>
      </c>
      <c r="F30" s="16">
        <v>10.01</v>
      </c>
      <c r="G30" s="25" t="s">
        <v>45</v>
      </c>
      <c r="H30" s="13">
        <v>17697</v>
      </c>
      <c r="I30" s="17" t="s">
        <v>54</v>
      </c>
      <c r="J30" s="21">
        <v>3.57</v>
      </c>
      <c r="K30" s="13">
        <v>0.5</v>
      </c>
      <c r="L30" s="19">
        <f t="shared" si="8"/>
        <v>63178.289999999994</v>
      </c>
      <c r="M30" s="19">
        <f>K30*L30</f>
        <v>31589.144999999997</v>
      </c>
      <c r="N30" s="28">
        <f>M30*50/100</f>
        <v>15794.572499999998</v>
      </c>
      <c r="O30" s="19">
        <f t="shared" si="2"/>
        <v>11845.929375</v>
      </c>
      <c r="P30" s="28">
        <f t="shared" si="9"/>
        <v>5922.9646874999999</v>
      </c>
      <c r="Q30" s="28"/>
      <c r="R30" s="19"/>
      <c r="S30" s="20"/>
      <c r="T30" s="20"/>
      <c r="U30" s="20"/>
      <c r="V30" s="20"/>
      <c r="W30" s="20"/>
      <c r="X30" s="20"/>
      <c r="Y30" s="20"/>
      <c r="Z30" s="20">
        <f t="shared" si="7"/>
        <v>65152.611562499995</v>
      </c>
      <c r="AA30" s="20">
        <f t="shared" si="0"/>
        <v>31589.145</v>
      </c>
      <c r="AB30" s="20">
        <f t="shared" si="4"/>
        <v>33563.466562499991</v>
      </c>
      <c r="AC30" s="19">
        <f t="shared" si="5"/>
        <v>260610.44624999998</v>
      </c>
    </row>
    <row r="31" spans="2:29" ht="15.75" x14ac:dyDescent="0.25">
      <c r="B31" s="35"/>
      <c r="C31" s="36" t="s">
        <v>69</v>
      </c>
      <c r="D31" s="35"/>
      <c r="E31" s="37"/>
      <c r="F31" s="37"/>
      <c r="G31" s="37"/>
      <c r="H31" s="13">
        <v>17697</v>
      </c>
      <c r="I31" s="37"/>
      <c r="J31" s="37"/>
      <c r="K31" s="53">
        <f>SUM(K12:K30)</f>
        <v>12</v>
      </c>
      <c r="L31" s="38">
        <f>L12+L13+L14+L15+L16+L19+L20+L21+L22+L23+L24+L25+L26+L27+L29</f>
        <v>1203926.9100000001</v>
      </c>
      <c r="M31" s="38">
        <f>SUM(M12:M30)</f>
        <v>913873.08000000031</v>
      </c>
      <c r="N31" s="38">
        <f>SUM(N12:N30)</f>
        <v>353586.06000000006</v>
      </c>
      <c r="O31" s="38">
        <f>SUM(O12:O30)</f>
        <v>275055.62250000006</v>
      </c>
      <c r="P31" s="38">
        <f>SUM(P12:P30)</f>
        <v>154251.47625000004</v>
      </c>
      <c r="Q31" s="38">
        <f t="shared" ref="Q31:AC31" si="10">SUM(Q12:Q30)</f>
        <v>89425.153124999997</v>
      </c>
      <c r="R31" s="38">
        <f t="shared" si="10"/>
        <v>0</v>
      </c>
      <c r="S31" s="38">
        <f t="shared" si="10"/>
        <v>0</v>
      </c>
      <c r="T31" s="38">
        <f t="shared" si="10"/>
        <v>0</v>
      </c>
      <c r="U31" s="38">
        <f t="shared" si="10"/>
        <v>57487.598437499997</v>
      </c>
      <c r="V31" s="38">
        <f t="shared" si="10"/>
        <v>0</v>
      </c>
      <c r="W31" s="38">
        <f t="shared" si="10"/>
        <v>0</v>
      </c>
      <c r="X31" s="38">
        <f t="shared" si="10"/>
        <v>2654.5499999999997</v>
      </c>
      <c r="Y31" s="38">
        <f t="shared" si="10"/>
        <v>0</v>
      </c>
      <c r="Z31" s="38">
        <f t="shared" si="10"/>
        <v>1846333.5403125</v>
      </c>
      <c r="AA31" s="38">
        <f t="shared" si="10"/>
        <v>1063440.3815625003</v>
      </c>
      <c r="AB31" s="38">
        <f t="shared" si="10"/>
        <v>782893.15874999994</v>
      </c>
      <c r="AC31" s="38">
        <f t="shared" si="10"/>
        <v>7385334.1612499999</v>
      </c>
    </row>
    <row r="32" spans="2:29" x14ac:dyDescent="0.25">
      <c r="B32" s="14">
        <v>18</v>
      </c>
      <c r="C32" s="39" t="s">
        <v>70</v>
      </c>
      <c r="D32" s="39" t="s">
        <v>71</v>
      </c>
      <c r="E32" s="37"/>
      <c r="F32" s="37"/>
      <c r="G32" s="37"/>
      <c r="H32" s="13">
        <v>17697</v>
      </c>
      <c r="I32" s="40" t="s">
        <v>102</v>
      </c>
      <c r="J32" s="24">
        <v>2.89</v>
      </c>
      <c r="K32" s="41">
        <v>1</v>
      </c>
      <c r="L32" s="19">
        <f t="shared" si="8"/>
        <v>51144.33</v>
      </c>
      <c r="M32" s="19">
        <f>L32*K32</f>
        <v>51144.33</v>
      </c>
      <c r="N32" s="19"/>
      <c r="O32" s="19"/>
      <c r="P32" s="19">
        <f>M32*10%</f>
        <v>5114.4330000000009</v>
      </c>
      <c r="Q32" s="19"/>
      <c r="R32" s="19"/>
      <c r="S32" s="20"/>
      <c r="T32" s="20"/>
      <c r="U32" s="20"/>
      <c r="V32" s="20"/>
      <c r="W32" s="20"/>
      <c r="X32" s="20">
        <f>D10*30%</f>
        <v>5309.0999999999995</v>
      </c>
      <c r="Y32" s="20"/>
      <c r="Z32" s="20">
        <f t="shared" ref="Z32:Z39" si="11">M32+N32+O32+P32+R32+S32+T32+U32+V32+W32+X32+Y32</f>
        <v>61567.863000000005</v>
      </c>
      <c r="AA32" s="20">
        <f t="shared" ref="AA32:AA39" si="12">Z32-N32-O32-P32</f>
        <v>56453.430000000008</v>
      </c>
      <c r="AB32" s="20">
        <f t="shared" si="4"/>
        <v>5114.4329999999973</v>
      </c>
      <c r="AC32" s="19">
        <f t="shared" si="5"/>
        <v>246271.45200000002</v>
      </c>
    </row>
    <row r="33" spans="2:29" x14ac:dyDescent="0.25">
      <c r="B33" s="76">
        <v>19</v>
      </c>
      <c r="C33" s="42" t="s">
        <v>72</v>
      </c>
      <c r="D33" s="43" t="s">
        <v>73</v>
      </c>
      <c r="E33" s="37"/>
      <c r="F33" s="44"/>
      <c r="G33" s="37"/>
      <c r="H33" s="13">
        <v>17697</v>
      </c>
      <c r="I33" s="40" t="s">
        <v>74</v>
      </c>
      <c r="J33" s="15">
        <v>2.81</v>
      </c>
      <c r="K33" s="41">
        <v>1</v>
      </c>
      <c r="L33" s="19">
        <f t="shared" si="8"/>
        <v>49728.57</v>
      </c>
      <c r="M33" s="19">
        <f>L33*K33</f>
        <v>49728.57</v>
      </c>
      <c r="N33" s="19"/>
      <c r="O33" s="19"/>
      <c r="P33" s="19">
        <f>M33*10%</f>
        <v>4972.857</v>
      </c>
      <c r="Q33" s="19"/>
      <c r="R33" s="19"/>
      <c r="S33" s="20"/>
      <c r="T33" s="20"/>
      <c r="U33" s="20"/>
      <c r="V33" s="20"/>
      <c r="W33" s="20"/>
      <c r="X33" s="20">
        <f>D10*20%</f>
        <v>3539.4</v>
      </c>
      <c r="Y33" s="20"/>
      <c r="Z33" s="20">
        <f t="shared" si="11"/>
        <v>58240.826999999997</v>
      </c>
      <c r="AA33" s="20">
        <f t="shared" si="12"/>
        <v>53267.97</v>
      </c>
      <c r="AB33" s="20">
        <f t="shared" si="4"/>
        <v>4972.8569999999963</v>
      </c>
      <c r="AC33" s="19">
        <f t="shared" si="5"/>
        <v>232963.30799999999</v>
      </c>
    </row>
    <row r="34" spans="2:29" x14ac:dyDescent="0.25">
      <c r="B34" s="14">
        <v>20</v>
      </c>
      <c r="C34" s="14" t="s">
        <v>114</v>
      </c>
      <c r="D34" s="14" t="s">
        <v>75</v>
      </c>
      <c r="E34" s="15"/>
      <c r="F34" s="15"/>
      <c r="G34" s="15"/>
      <c r="H34" s="13">
        <v>17697</v>
      </c>
      <c r="I34" s="40" t="s">
        <v>76</v>
      </c>
      <c r="J34" s="16">
        <v>2.77</v>
      </c>
      <c r="K34" s="45">
        <v>0.5</v>
      </c>
      <c r="L34" s="19">
        <f t="shared" si="8"/>
        <v>49020.69</v>
      </c>
      <c r="M34" s="19">
        <f>SUM(L34*K34)</f>
        <v>24510.345000000001</v>
      </c>
      <c r="N34" s="19"/>
      <c r="O34" s="19"/>
      <c r="P34" s="19">
        <f>SUM(M34+N34)*10%</f>
        <v>2451.0345000000002</v>
      </c>
      <c r="Q34" s="19"/>
      <c r="R34" s="19"/>
      <c r="S34" s="20"/>
      <c r="T34" s="20"/>
      <c r="U34" s="20"/>
      <c r="V34" s="20"/>
      <c r="W34" s="20"/>
      <c r="X34" s="20"/>
      <c r="Y34" s="20"/>
      <c r="Z34" s="20">
        <f t="shared" si="11"/>
        <v>26961.379500000003</v>
      </c>
      <c r="AA34" s="20">
        <f t="shared" si="12"/>
        <v>24510.345000000001</v>
      </c>
      <c r="AB34" s="20">
        <f t="shared" si="4"/>
        <v>2451.0345000000016</v>
      </c>
      <c r="AC34" s="19">
        <f t="shared" si="5"/>
        <v>107845.51800000001</v>
      </c>
    </row>
    <row r="35" spans="2:29" x14ac:dyDescent="0.25">
      <c r="B35" s="77">
        <v>21</v>
      </c>
      <c r="C35" s="14" t="s">
        <v>77</v>
      </c>
      <c r="D35" s="14" t="s">
        <v>78</v>
      </c>
      <c r="E35" s="15"/>
      <c r="F35" s="15"/>
      <c r="G35" s="15"/>
      <c r="H35" s="13">
        <v>17697</v>
      </c>
      <c r="I35" s="40" t="s">
        <v>79</v>
      </c>
      <c r="J35" s="15">
        <v>2.84</v>
      </c>
      <c r="K35" s="47" t="s">
        <v>80</v>
      </c>
      <c r="L35" s="19">
        <f t="shared" si="8"/>
        <v>50259.479999999996</v>
      </c>
      <c r="M35" s="19">
        <f t="shared" ref="M35:M39" si="13">SUM(L35*K35)</f>
        <v>50259.479999999996</v>
      </c>
      <c r="N35" s="19"/>
      <c r="O35" s="19"/>
      <c r="P35" s="19">
        <f t="shared" ref="P35:P39" si="14">SUM(M35+N35)*10%</f>
        <v>5025.9480000000003</v>
      </c>
      <c r="Q35" s="19"/>
      <c r="R35" s="19"/>
      <c r="S35" s="20"/>
      <c r="T35" s="20"/>
      <c r="U35" s="20"/>
      <c r="V35" s="20"/>
      <c r="W35" s="20"/>
      <c r="X35" s="20"/>
      <c r="Y35" s="20"/>
      <c r="Z35" s="20">
        <f t="shared" si="11"/>
        <v>55285.428</v>
      </c>
      <c r="AA35" s="20">
        <f t="shared" si="12"/>
        <v>50259.479999999996</v>
      </c>
      <c r="AB35" s="20">
        <f t="shared" si="4"/>
        <v>5025.948000000004</v>
      </c>
      <c r="AC35" s="19">
        <f t="shared" si="5"/>
        <v>221141.712</v>
      </c>
    </row>
    <row r="36" spans="2:29" ht="38.25" x14ac:dyDescent="0.25">
      <c r="B36" s="14">
        <v>22</v>
      </c>
      <c r="C36" s="14" t="s">
        <v>98</v>
      </c>
      <c r="D36" s="14" t="s">
        <v>81</v>
      </c>
      <c r="E36" s="15"/>
      <c r="F36" s="15"/>
      <c r="G36" s="15"/>
      <c r="H36" s="13">
        <v>17697</v>
      </c>
      <c r="I36" s="40" t="s">
        <v>74</v>
      </c>
      <c r="J36" s="15">
        <v>2.81</v>
      </c>
      <c r="K36" s="41">
        <v>2</v>
      </c>
      <c r="L36" s="19">
        <f t="shared" si="8"/>
        <v>49728.57</v>
      </c>
      <c r="M36" s="19">
        <f t="shared" si="13"/>
        <v>99457.14</v>
      </c>
      <c r="N36" s="19"/>
      <c r="O36" s="19"/>
      <c r="P36" s="19">
        <f t="shared" si="14"/>
        <v>9945.7139999999999</v>
      </c>
      <c r="Q36" s="19"/>
      <c r="R36" s="19"/>
      <c r="S36" s="20"/>
      <c r="T36" s="20"/>
      <c r="U36" s="20"/>
      <c r="V36" s="20"/>
      <c r="W36" s="20">
        <f>D10*20%*2</f>
        <v>7078.8</v>
      </c>
      <c r="X36" s="20">
        <f>H36*30%</f>
        <v>5309.0999999999995</v>
      </c>
      <c r="Y36" s="20"/>
      <c r="Z36" s="20">
        <f>M36+N36+O36+P36+Q36+R36+S36+T36+U36+W36+X36</f>
        <v>121790.754</v>
      </c>
      <c r="AA36" s="20">
        <f t="shared" si="12"/>
        <v>111845.04000000001</v>
      </c>
      <c r="AB36" s="20">
        <f t="shared" si="4"/>
        <v>9945.7139999999927</v>
      </c>
      <c r="AC36" s="19">
        <f t="shared" si="5"/>
        <v>487163.016</v>
      </c>
    </row>
    <row r="37" spans="2:29" ht="38.25" x14ac:dyDescent="0.25">
      <c r="B37" s="14">
        <v>23</v>
      </c>
      <c r="C37" s="14" t="s">
        <v>98</v>
      </c>
      <c r="D37" s="14" t="s">
        <v>82</v>
      </c>
      <c r="E37" s="15"/>
      <c r="F37" s="15"/>
      <c r="G37" s="15"/>
      <c r="H37" s="13">
        <v>17697</v>
      </c>
      <c r="I37" s="40" t="s">
        <v>76</v>
      </c>
      <c r="J37" s="15">
        <v>2.77</v>
      </c>
      <c r="K37" s="48">
        <v>2</v>
      </c>
      <c r="L37" s="19">
        <f t="shared" si="8"/>
        <v>49020.69</v>
      </c>
      <c r="M37" s="19">
        <f t="shared" si="13"/>
        <v>98041.38</v>
      </c>
      <c r="N37" s="19"/>
      <c r="O37" s="19"/>
      <c r="P37" s="19">
        <f t="shared" si="14"/>
        <v>9804.1380000000008</v>
      </c>
      <c r="Q37" s="19"/>
      <c r="R37" s="19"/>
      <c r="S37" s="20"/>
      <c r="T37" s="20"/>
      <c r="U37" s="20"/>
      <c r="V37" s="20"/>
      <c r="W37" s="20"/>
      <c r="X37" s="20"/>
      <c r="Y37" s="20"/>
      <c r="Z37" s="20">
        <f t="shared" si="11"/>
        <v>107845.51800000001</v>
      </c>
      <c r="AA37" s="20">
        <f t="shared" si="12"/>
        <v>98041.38</v>
      </c>
      <c r="AB37" s="20">
        <f t="shared" si="4"/>
        <v>9804.1380000000063</v>
      </c>
      <c r="AC37" s="19">
        <f t="shared" si="5"/>
        <v>431382.07200000004</v>
      </c>
    </row>
    <row r="38" spans="2:29" x14ac:dyDescent="0.25">
      <c r="B38" s="14">
        <v>24</v>
      </c>
      <c r="C38" s="84" t="s">
        <v>115</v>
      </c>
      <c r="D38" s="14" t="s">
        <v>83</v>
      </c>
      <c r="E38" s="15"/>
      <c r="F38" s="15"/>
      <c r="G38" s="15"/>
      <c r="H38" s="13">
        <v>17697</v>
      </c>
      <c r="I38" s="40" t="s">
        <v>79</v>
      </c>
      <c r="J38" s="15">
        <v>2.84</v>
      </c>
      <c r="K38" s="47" t="s">
        <v>80</v>
      </c>
      <c r="L38" s="19">
        <f t="shared" si="8"/>
        <v>50259.479999999996</v>
      </c>
      <c r="M38" s="19">
        <f t="shared" si="13"/>
        <v>50259.479999999996</v>
      </c>
      <c r="N38" s="19"/>
      <c r="O38" s="19"/>
      <c r="P38" s="19">
        <f t="shared" si="14"/>
        <v>5025.9480000000003</v>
      </c>
      <c r="Q38" s="19"/>
      <c r="R38" s="19"/>
      <c r="S38" s="20"/>
      <c r="T38" s="20"/>
      <c r="U38" s="20"/>
      <c r="V38" s="20"/>
      <c r="W38" s="20"/>
      <c r="X38" s="20"/>
      <c r="Y38" s="20"/>
      <c r="Z38" s="20">
        <f t="shared" si="11"/>
        <v>55285.428</v>
      </c>
      <c r="AA38" s="20">
        <f t="shared" si="12"/>
        <v>50259.479999999996</v>
      </c>
      <c r="AB38" s="20">
        <f t="shared" si="4"/>
        <v>5025.948000000004</v>
      </c>
      <c r="AC38" s="19">
        <f t="shared" si="5"/>
        <v>221141.712</v>
      </c>
    </row>
    <row r="39" spans="2:29" x14ac:dyDescent="0.25">
      <c r="B39" s="14">
        <v>26</v>
      </c>
      <c r="C39" s="14" t="s">
        <v>84</v>
      </c>
      <c r="D39" s="14" t="s">
        <v>85</v>
      </c>
      <c r="E39" s="15"/>
      <c r="F39" s="15"/>
      <c r="G39" s="15"/>
      <c r="H39" s="13">
        <v>17697</v>
      </c>
      <c r="I39" s="40" t="s">
        <v>76</v>
      </c>
      <c r="J39" s="15">
        <v>2.77</v>
      </c>
      <c r="K39" s="47" t="s">
        <v>80</v>
      </c>
      <c r="L39" s="19">
        <f t="shared" si="8"/>
        <v>49020.69</v>
      </c>
      <c r="M39" s="19">
        <f t="shared" si="13"/>
        <v>49020.69</v>
      </c>
      <c r="N39" s="19"/>
      <c r="O39" s="19"/>
      <c r="P39" s="19">
        <f t="shared" si="14"/>
        <v>4902.0690000000004</v>
      </c>
      <c r="Q39" s="19"/>
      <c r="R39" s="19"/>
      <c r="S39" s="20"/>
      <c r="T39" s="20"/>
      <c r="U39" s="20"/>
      <c r="V39" s="20"/>
      <c r="W39" s="20"/>
      <c r="X39" s="20"/>
      <c r="Y39" s="20"/>
      <c r="Z39" s="20">
        <f t="shared" si="11"/>
        <v>53922.759000000005</v>
      </c>
      <c r="AA39" s="20">
        <f t="shared" si="12"/>
        <v>49020.69</v>
      </c>
      <c r="AB39" s="20">
        <f t="shared" si="4"/>
        <v>4902.0690000000031</v>
      </c>
      <c r="AC39" s="19">
        <f t="shared" si="5"/>
        <v>215691.03600000002</v>
      </c>
    </row>
    <row r="40" spans="2:29" x14ac:dyDescent="0.25">
      <c r="B40" s="78"/>
      <c r="C40" s="50" t="s">
        <v>86</v>
      </c>
      <c r="D40" s="50"/>
      <c r="E40" s="51"/>
      <c r="F40" s="37"/>
      <c r="G40" s="37"/>
      <c r="H40" s="13"/>
      <c r="I40" s="52"/>
      <c r="J40" s="52"/>
      <c r="K40" s="53">
        <f>SUM(K32:K39)</f>
        <v>6.5</v>
      </c>
      <c r="L40" s="54">
        <f>SUM(L32:L39)</f>
        <v>398182.5</v>
      </c>
      <c r="M40" s="54">
        <f>SUM(M32:M39)</f>
        <v>472421.41499999998</v>
      </c>
      <c r="N40" s="54">
        <f>SUM(N32:N39)</f>
        <v>0</v>
      </c>
      <c r="O40" s="54"/>
      <c r="P40" s="54">
        <f>SUM(P32:P39)</f>
        <v>47242.141499999998</v>
      </c>
      <c r="Q40" s="54">
        <f t="shared" ref="Q40:AC40" si="15">SUM(Q32:Q39)</f>
        <v>0</v>
      </c>
      <c r="R40" s="54">
        <f t="shared" si="15"/>
        <v>0</v>
      </c>
      <c r="S40" s="54">
        <f t="shared" si="15"/>
        <v>0</v>
      </c>
      <c r="T40" s="54">
        <f t="shared" si="15"/>
        <v>0</v>
      </c>
      <c r="U40" s="54">
        <f t="shared" si="15"/>
        <v>0</v>
      </c>
      <c r="V40" s="54">
        <f t="shared" si="15"/>
        <v>0</v>
      </c>
      <c r="W40" s="54">
        <f t="shared" si="15"/>
        <v>7078.8</v>
      </c>
      <c r="X40" s="54">
        <f t="shared" si="15"/>
        <v>14157.599999999999</v>
      </c>
      <c r="Y40" s="54">
        <f t="shared" si="15"/>
        <v>0</v>
      </c>
      <c r="Z40" s="54">
        <f t="shared" si="15"/>
        <v>540899.95650000009</v>
      </c>
      <c r="AA40" s="54">
        <f t="shared" si="15"/>
        <v>493657.815</v>
      </c>
      <c r="AB40" s="54">
        <f t="shared" si="15"/>
        <v>47242.141500000005</v>
      </c>
      <c r="AC40" s="54">
        <f t="shared" si="15"/>
        <v>2163599.8260000004</v>
      </c>
    </row>
    <row r="41" spans="2:29" x14ac:dyDescent="0.25">
      <c r="B41" s="78"/>
      <c r="C41" s="50" t="s">
        <v>87</v>
      </c>
      <c r="D41" s="50"/>
      <c r="E41" s="51"/>
      <c r="F41" s="37"/>
      <c r="G41" s="37"/>
      <c r="H41" s="13"/>
      <c r="I41" s="37"/>
      <c r="J41" s="37"/>
      <c r="K41" s="55">
        <f>SUM(K31+K40)</f>
        <v>18.5</v>
      </c>
      <c r="L41" s="54">
        <f>L40+L31</f>
        <v>1602109.4100000001</v>
      </c>
      <c r="M41" s="54">
        <f>M31+M40</f>
        <v>1386294.4950000003</v>
      </c>
      <c r="N41" s="54">
        <f>N31+N40</f>
        <v>353586.06000000006</v>
      </c>
      <c r="O41" s="54"/>
      <c r="P41" s="54">
        <f>P31+P40</f>
        <v>201493.61775000003</v>
      </c>
      <c r="Q41" s="54">
        <f t="shared" ref="Q41:AC41" si="16">Q31+Q40</f>
        <v>89425.153124999997</v>
      </c>
      <c r="R41" s="54">
        <f t="shared" si="16"/>
        <v>0</v>
      </c>
      <c r="S41" s="54">
        <f t="shared" si="16"/>
        <v>0</v>
      </c>
      <c r="T41" s="54">
        <f t="shared" si="16"/>
        <v>0</v>
      </c>
      <c r="U41" s="54">
        <f t="shared" si="16"/>
        <v>57487.598437499997</v>
      </c>
      <c r="V41" s="54">
        <f t="shared" si="16"/>
        <v>0</v>
      </c>
      <c r="W41" s="54">
        <f t="shared" si="16"/>
        <v>7078.8</v>
      </c>
      <c r="X41" s="54">
        <f t="shared" si="16"/>
        <v>16812.149999999998</v>
      </c>
      <c r="Y41" s="54">
        <f t="shared" si="16"/>
        <v>0</v>
      </c>
      <c r="Z41" s="54">
        <f t="shared" si="16"/>
        <v>2387233.4968125001</v>
      </c>
      <c r="AA41" s="54">
        <f t="shared" si="16"/>
        <v>1557098.1965625002</v>
      </c>
      <c r="AB41" s="54">
        <f t="shared" si="16"/>
        <v>830135.30024999997</v>
      </c>
      <c r="AC41" s="54">
        <f t="shared" si="16"/>
        <v>9548933.9872500002</v>
      </c>
    </row>
    <row r="42" spans="2:29" ht="39" x14ac:dyDescent="0.25">
      <c r="B42" s="77">
        <v>28</v>
      </c>
      <c r="C42" s="56" t="s">
        <v>88</v>
      </c>
      <c r="D42" s="22" t="s">
        <v>89</v>
      </c>
      <c r="E42" s="49"/>
      <c r="F42" s="15"/>
      <c r="G42" s="15"/>
      <c r="H42" s="13">
        <v>17697</v>
      </c>
      <c r="I42" s="15" t="s">
        <v>79</v>
      </c>
      <c r="J42" s="15">
        <v>2.84</v>
      </c>
      <c r="K42" s="13">
        <v>4</v>
      </c>
      <c r="L42" s="19">
        <f>J42*H42</f>
        <v>50259.479999999996</v>
      </c>
      <c r="M42" s="19">
        <f>SUM(K42*L42)</f>
        <v>201037.91999999998</v>
      </c>
      <c r="N42" s="19"/>
      <c r="O42" s="19"/>
      <c r="P42" s="19">
        <f>SUM(M42+N42)*10%</f>
        <v>20103.792000000001</v>
      </c>
      <c r="Q42" s="19"/>
      <c r="R42" s="19">
        <v>37659</v>
      </c>
      <c r="S42" s="19">
        <v>9247</v>
      </c>
      <c r="T42" s="19">
        <v>6188</v>
      </c>
      <c r="U42" s="19"/>
      <c r="V42" s="20"/>
      <c r="W42" s="20"/>
      <c r="X42" s="20">
        <f>H42*K42*30%</f>
        <v>21236.399999999998</v>
      </c>
      <c r="Y42" s="20"/>
      <c r="Z42" s="20">
        <f>M42+N42+O42+P42+R42+S42+T42+U42+V42+W42+X42+Y42</f>
        <v>295472.11200000002</v>
      </c>
      <c r="AA42" s="20">
        <f>Z42-N42-O42-P42</f>
        <v>275368.32000000001</v>
      </c>
      <c r="AB42" s="20">
        <f t="shared" si="4"/>
        <v>20103.792000000016</v>
      </c>
      <c r="AC42" s="19">
        <f t="shared" si="5"/>
        <v>1181888.4480000001</v>
      </c>
    </row>
    <row r="43" spans="2:29" x14ac:dyDescent="0.25">
      <c r="B43" s="46"/>
      <c r="C43" s="56" t="s">
        <v>90</v>
      </c>
      <c r="D43" s="22"/>
      <c r="E43" s="49"/>
      <c r="F43" s="15"/>
      <c r="G43" s="15"/>
      <c r="H43" s="13"/>
      <c r="I43" s="15"/>
      <c r="J43" s="15"/>
      <c r="K43" s="45">
        <f>K41+K42</f>
        <v>22.5</v>
      </c>
      <c r="L43" s="19">
        <f t="shared" si="8"/>
        <v>0</v>
      </c>
      <c r="M43" s="54">
        <f>M42</f>
        <v>201037.91999999998</v>
      </c>
      <c r="N43" s="54">
        <f t="shared" ref="N43:AC43" si="17">N42</f>
        <v>0</v>
      </c>
      <c r="O43" s="54">
        <f t="shared" si="17"/>
        <v>0</v>
      </c>
      <c r="P43" s="54">
        <f t="shared" si="17"/>
        <v>20103.792000000001</v>
      </c>
      <c r="Q43" s="54">
        <f t="shared" si="17"/>
        <v>0</v>
      </c>
      <c r="R43" s="54">
        <f t="shared" si="17"/>
        <v>37659</v>
      </c>
      <c r="S43" s="54">
        <f t="shared" si="17"/>
        <v>9247</v>
      </c>
      <c r="T43" s="54">
        <f t="shared" si="17"/>
        <v>6188</v>
      </c>
      <c r="U43" s="54">
        <f t="shared" si="17"/>
        <v>0</v>
      </c>
      <c r="V43" s="54">
        <f t="shared" si="17"/>
        <v>0</v>
      </c>
      <c r="W43" s="54">
        <f t="shared" si="17"/>
        <v>0</v>
      </c>
      <c r="X43" s="54">
        <f t="shared" si="17"/>
        <v>21236.399999999998</v>
      </c>
      <c r="Y43" s="54">
        <f t="shared" si="17"/>
        <v>0</v>
      </c>
      <c r="Z43" s="54">
        <f t="shared" si="17"/>
        <v>295472.11200000002</v>
      </c>
      <c r="AA43" s="54">
        <f t="shared" si="17"/>
        <v>275368.32000000001</v>
      </c>
      <c r="AB43" s="54">
        <f t="shared" si="17"/>
        <v>20103.792000000016</v>
      </c>
      <c r="AC43" s="54">
        <f t="shared" si="17"/>
        <v>1181888.4480000001</v>
      </c>
    </row>
    <row r="44" spans="2:29" x14ac:dyDescent="0.25">
      <c r="B44" s="57"/>
      <c r="C44" s="58" t="s">
        <v>91</v>
      </c>
      <c r="D44" s="59"/>
      <c r="E44" s="60"/>
      <c r="F44" s="61"/>
      <c r="G44" s="61"/>
      <c r="H44" s="61"/>
      <c r="I44" s="61" t="s">
        <v>79</v>
      </c>
      <c r="J44" s="61">
        <v>2.84</v>
      </c>
      <c r="K44" s="61">
        <v>1</v>
      </c>
      <c r="L44" s="19"/>
      <c r="M44" s="62"/>
      <c r="N44" s="61"/>
      <c r="O44" s="61"/>
      <c r="P44" s="62"/>
      <c r="Q44" s="62"/>
      <c r="R44" s="15"/>
      <c r="S44" s="62"/>
      <c r="T44" s="63"/>
      <c r="U44" s="63"/>
      <c r="V44" s="63"/>
      <c r="W44" s="63"/>
      <c r="X44" s="64"/>
      <c r="Y44" s="64"/>
      <c r="Z44" s="20">
        <f>M44+N44+O44+P44+R44+S44+T44+U44+V44+W44+X44+Y44</f>
        <v>0</v>
      </c>
      <c r="AA44" s="20">
        <f>Z44-N44-O44-P44</f>
        <v>0</v>
      </c>
      <c r="AB44" s="20">
        <f t="shared" si="4"/>
        <v>0</v>
      </c>
      <c r="AC44" s="19">
        <f t="shared" si="5"/>
        <v>0</v>
      </c>
    </row>
    <row r="45" spans="2:29" x14ac:dyDescent="0.25">
      <c r="B45" s="65"/>
      <c r="C45" s="66"/>
      <c r="D45" s="14"/>
      <c r="E45" s="15"/>
      <c r="F45" s="15"/>
      <c r="G45" s="15"/>
      <c r="H45" s="15"/>
      <c r="I45" s="15"/>
      <c r="J45" s="15"/>
      <c r="K45" s="15"/>
      <c r="L45" s="54">
        <f>L41+L42</f>
        <v>1652368.8900000001</v>
      </c>
      <c r="M45" s="54">
        <f t="shared" ref="M45:AC45" si="18">M41+M42</f>
        <v>1587332.4150000003</v>
      </c>
      <c r="N45" s="54">
        <f t="shared" si="18"/>
        <v>353586.06000000006</v>
      </c>
      <c r="O45" s="54">
        <f t="shared" si="18"/>
        <v>0</v>
      </c>
      <c r="P45" s="54">
        <f t="shared" si="18"/>
        <v>221597.40975000005</v>
      </c>
      <c r="Q45" s="54">
        <f t="shared" si="18"/>
        <v>89425.153124999997</v>
      </c>
      <c r="R45" s="54">
        <f t="shared" si="18"/>
        <v>37659</v>
      </c>
      <c r="S45" s="54">
        <f t="shared" si="18"/>
        <v>9247</v>
      </c>
      <c r="T45" s="54">
        <f t="shared" si="18"/>
        <v>6188</v>
      </c>
      <c r="U45" s="54">
        <f t="shared" si="18"/>
        <v>57487.598437499997</v>
      </c>
      <c r="V45" s="54">
        <f t="shared" si="18"/>
        <v>0</v>
      </c>
      <c r="W45" s="54">
        <f t="shared" si="18"/>
        <v>7078.8</v>
      </c>
      <c r="X45" s="54">
        <f t="shared" si="18"/>
        <v>38048.549999999996</v>
      </c>
      <c r="Y45" s="54">
        <f t="shared" si="18"/>
        <v>0</v>
      </c>
      <c r="Z45" s="54">
        <f t="shared" si="18"/>
        <v>2682705.6088125003</v>
      </c>
      <c r="AA45" s="54">
        <f t="shared" si="18"/>
        <v>1832466.5165625003</v>
      </c>
      <c r="AB45" s="54">
        <f t="shared" si="18"/>
        <v>850239.09224999999</v>
      </c>
      <c r="AC45" s="54">
        <f t="shared" si="18"/>
        <v>10730822.435250001</v>
      </c>
    </row>
    <row r="46" spans="2:29" x14ac:dyDescent="0.25">
      <c r="B46" s="67"/>
      <c r="C46" s="68"/>
      <c r="D46" s="69"/>
      <c r="E46" s="69"/>
      <c r="F46" s="69"/>
      <c r="G46" s="69"/>
      <c r="H46" s="69"/>
      <c r="I46" s="69"/>
      <c r="J46" s="69"/>
      <c r="K46" s="69"/>
      <c r="L46" s="70"/>
      <c r="M46" s="69"/>
      <c r="N46" s="69"/>
      <c r="O46" s="69"/>
      <c r="P46" s="81"/>
      <c r="Q46" s="81"/>
      <c r="R46" s="69"/>
      <c r="S46" s="70"/>
      <c r="T46" s="70"/>
      <c r="U46" s="70"/>
      <c r="V46" s="70"/>
      <c r="W46" s="70"/>
      <c r="X46" s="69"/>
      <c r="Y46" s="69"/>
      <c r="Z46" s="69"/>
      <c r="AA46" s="69"/>
      <c r="AB46" s="69"/>
      <c r="AC46" s="70"/>
    </row>
    <row r="47" spans="2:29" ht="15.75" x14ac:dyDescent="0.25">
      <c r="B47" s="71"/>
      <c r="C47" s="1" t="s">
        <v>92</v>
      </c>
      <c r="D47" s="1"/>
      <c r="E47" s="101" t="s">
        <v>96</v>
      </c>
      <c r="F47" s="101"/>
      <c r="G47" s="101"/>
      <c r="H47" s="101"/>
      <c r="I47" s="71"/>
      <c r="J47" s="72"/>
      <c r="K47" s="71"/>
      <c r="L47" s="71"/>
      <c r="M47" s="73"/>
      <c r="N47" s="103" t="s">
        <v>116</v>
      </c>
      <c r="O47" s="103"/>
      <c r="P47" s="100"/>
      <c r="Q47" s="100"/>
      <c r="R47" s="100"/>
      <c r="S47" s="100"/>
      <c r="T47" s="100"/>
      <c r="U47" s="100"/>
      <c r="V47" s="100"/>
      <c r="W47" s="100"/>
      <c r="X47" s="100"/>
      <c r="Y47" s="87"/>
      <c r="Z47" s="87"/>
      <c r="AA47" s="87"/>
      <c r="AB47" s="87"/>
      <c r="AC47" s="74"/>
    </row>
    <row r="48" spans="2:29" ht="15.75" x14ac:dyDescent="0.25">
      <c r="B48" s="71"/>
      <c r="C48" s="1" t="s">
        <v>94</v>
      </c>
      <c r="D48" s="1"/>
      <c r="E48" s="101" t="s">
        <v>95</v>
      </c>
      <c r="F48" s="101"/>
      <c r="G48" s="101"/>
      <c r="H48" s="101"/>
      <c r="I48" s="1"/>
      <c r="J48" s="72"/>
      <c r="K48" s="71"/>
      <c r="L48" s="71"/>
      <c r="M48" s="73"/>
      <c r="N48" s="106" t="s">
        <v>118</v>
      </c>
      <c r="O48" s="106"/>
      <c r="P48" s="107"/>
      <c r="Q48" s="107"/>
      <c r="R48" s="107"/>
      <c r="S48" s="108" t="s">
        <v>119</v>
      </c>
      <c r="T48" s="108"/>
      <c r="U48" s="108"/>
      <c r="V48" s="1"/>
      <c r="W48" s="69"/>
      <c r="X48" s="70"/>
      <c r="Y48" s="70"/>
      <c r="Z48" s="104"/>
      <c r="AA48" s="104"/>
      <c r="AB48" s="104"/>
      <c r="AC48" s="105"/>
    </row>
    <row r="49" spans="2:29" ht="15.75" x14ac:dyDescent="0.25">
      <c r="B49" s="3"/>
      <c r="C49" s="86" t="s">
        <v>93</v>
      </c>
      <c r="D49" s="1"/>
      <c r="E49" s="101" t="s">
        <v>122</v>
      </c>
      <c r="F49" s="101"/>
      <c r="G49" s="101"/>
      <c r="H49" s="101"/>
      <c r="I49" s="71"/>
      <c r="J49" s="72"/>
      <c r="K49" s="71"/>
      <c r="L49" s="71"/>
      <c r="M49" s="67"/>
      <c r="N49" s="103"/>
      <c r="O49" s="103"/>
      <c r="P49" s="100"/>
      <c r="Q49" s="100"/>
      <c r="R49" s="100"/>
      <c r="S49" s="100"/>
      <c r="T49" s="100"/>
      <c r="U49" s="100"/>
      <c r="V49" s="100"/>
      <c r="W49" s="100"/>
      <c r="X49" s="70"/>
      <c r="Y49" s="70"/>
      <c r="Z49" s="70"/>
      <c r="AA49" s="70"/>
      <c r="AB49" s="70"/>
      <c r="AC49" s="74"/>
    </row>
    <row r="50" spans="2:29" x14ac:dyDescent="0.25">
      <c r="B50" s="1"/>
      <c r="C50" s="1"/>
      <c r="D50" s="1"/>
      <c r="E50" s="71"/>
      <c r="F50" s="1"/>
      <c r="G50" s="1"/>
      <c r="H50" s="1"/>
      <c r="I50" s="1"/>
      <c r="J50" s="72"/>
      <c r="K50" s="1"/>
      <c r="L50" s="1"/>
      <c r="M50" s="1"/>
      <c r="N50" s="1"/>
      <c r="O50" s="1"/>
      <c r="P50" s="79"/>
      <c r="Q50" s="79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x14ac:dyDescent="0.25">
      <c r="B51" s="1"/>
      <c r="C51" s="1"/>
      <c r="D51" s="1"/>
      <c r="E51" s="101"/>
      <c r="F51" s="101"/>
      <c r="G51" s="101"/>
      <c r="H51" s="101"/>
      <c r="I51" s="1"/>
      <c r="J51" s="72"/>
      <c r="K51" s="1"/>
      <c r="L51" s="1"/>
      <c r="M51" s="1"/>
      <c r="N51" s="1"/>
      <c r="O51" s="1"/>
      <c r="P51" s="79"/>
      <c r="Q51" s="79"/>
      <c r="R51" s="1"/>
      <c r="S51" s="1"/>
      <c r="T51" s="1"/>
      <c r="U51" s="1"/>
      <c r="V51" s="1"/>
      <c r="W51" s="75"/>
      <c r="X51" s="70"/>
      <c r="Y51" s="70"/>
      <c r="Z51" s="70"/>
      <c r="AA51" s="70"/>
      <c r="AB51" s="70"/>
      <c r="AC51" s="1"/>
    </row>
    <row r="54" spans="2:29" x14ac:dyDescent="0.25">
      <c r="M54" s="100"/>
      <c r="N54" s="100"/>
      <c r="O54" s="100"/>
      <c r="P54" s="100"/>
      <c r="Q54" s="100"/>
      <c r="R54" s="100"/>
      <c r="S54" s="100"/>
      <c r="T54" s="100"/>
    </row>
  </sheetData>
  <mergeCells count="12">
    <mergeCell ref="M54:T54"/>
    <mergeCell ref="E51:H51"/>
    <mergeCell ref="B9:AC9"/>
    <mergeCell ref="E47:H47"/>
    <mergeCell ref="N47:X47"/>
    <mergeCell ref="Z48:AC48"/>
    <mergeCell ref="E49:H49"/>
    <mergeCell ref="N49:W49"/>
    <mergeCell ref="E48:H48"/>
    <mergeCell ref="N48:O48"/>
    <mergeCell ref="P48:R48"/>
    <mergeCell ref="S48:U48"/>
  </mergeCells>
  <pageMargins left="0.31496062992125984" right="0" top="0.55118110236220474" bottom="0" header="0.51181102362204722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C54"/>
  <sheetViews>
    <sheetView tabSelected="1" view="pageBreakPreview" topLeftCell="A31" zoomScale="77" zoomScaleNormal="77" zoomScaleSheetLayoutView="77" workbookViewId="0">
      <selection activeCell="C42" sqref="C42"/>
    </sheetView>
  </sheetViews>
  <sheetFormatPr defaultRowHeight="15" x14ac:dyDescent="0.25"/>
  <cols>
    <col min="2" max="2" width="5.140625" customWidth="1"/>
    <col min="3" max="3" width="23.140625" customWidth="1"/>
    <col min="4" max="4" width="15.7109375" customWidth="1"/>
    <col min="6" max="6" width="6.28515625" customWidth="1"/>
    <col min="7" max="7" width="6.5703125" customWidth="1"/>
    <col min="9" max="9" width="7.28515625" customWidth="1"/>
    <col min="10" max="10" width="7.140625" customWidth="1"/>
    <col min="11" max="11" width="6.140625" style="99" customWidth="1"/>
    <col min="12" max="12" width="8.28515625" customWidth="1"/>
    <col min="13" max="13" width="9" customWidth="1"/>
    <col min="14" max="14" width="8.28515625" customWidth="1"/>
    <col min="15" max="15" width="7.5703125" customWidth="1"/>
    <col min="16" max="17" width="7.7109375" style="82" customWidth="1"/>
    <col min="18" max="18" width="7.42578125" customWidth="1"/>
    <col min="19" max="19" width="6.42578125" customWidth="1"/>
    <col min="20" max="20" width="7.140625" customWidth="1"/>
    <col min="21" max="21" width="7.5703125" customWidth="1"/>
    <col min="22" max="22" width="6.7109375" hidden="1" customWidth="1"/>
    <col min="23" max="23" width="7" customWidth="1"/>
    <col min="24" max="24" width="7.28515625" customWidth="1"/>
    <col min="25" max="25" width="7.42578125" hidden="1" customWidth="1"/>
  </cols>
  <sheetData>
    <row r="3" spans="2:29" x14ac:dyDescent="0.25">
      <c r="B3" s="1"/>
      <c r="C3" s="1"/>
      <c r="D3" s="1"/>
      <c r="E3" s="1"/>
      <c r="F3" s="1"/>
      <c r="G3" s="1"/>
      <c r="H3" s="1"/>
      <c r="I3" s="1"/>
      <c r="J3" s="1"/>
      <c r="K3" s="90"/>
      <c r="L3" s="1"/>
      <c r="M3" s="1"/>
      <c r="N3" s="1"/>
      <c r="O3" s="1"/>
      <c r="P3" s="79"/>
      <c r="Q3" s="79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29" x14ac:dyDescent="0.25">
      <c r="B4" s="1"/>
      <c r="C4" s="2" t="s">
        <v>0</v>
      </c>
      <c r="D4" s="1"/>
      <c r="E4" s="1"/>
      <c r="F4" s="1"/>
      <c r="G4" s="1"/>
      <c r="H4" s="1"/>
      <c r="I4" s="1"/>
      <c r="J4" s="1"/>
      <c r="K4" s="90"/>
      <c r="L4" s="3"/>
      <c r="M4" s="3"/>
      <c r="N4" s="1"/>
      <c r="O4" s="1"/>
      <c r="P4" s="80"/>
      <c r="Q4" s="80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" t="s">
        <v>1</v>
      </c>
    </row>
    <row r="5" spans="2:29" x14ac:dyDescent="0.25">
      <c r="B5" s="1"/>
      <c r="C5" s="2" t="s">
        <v>2</v>
      </c>
      <c r="D5" s="1"/>
      <c r="E5" s="1"/>
      <c r="F5" s="1"/>
      <c r="G5" s="1"/>
      <c r="H5" s="1"/>
      <c r="I5" s="1"/>
      <c r="J5" s="1" t="s">
        <v>3</v>
      </c>
      <c r="K5" s="90"/>
      <c r="L5" s="1"/>
      <c r="M5" s="3"/>
      <c r="N5" s="1">
        <v>3</v>
      </c>
      <c r="O5" s="1"/>
      <c r="P5" s="80"/>
      <c r="Q5" s="8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 t="s">
        <v>4</v>
      </c>
    </row>
    <row r="6" spans="2:29" x14ac:dyDescent="0.25">
      <c r="B6" s="1"/>
      <c r="C6" s="2" t="s">
        <v>5</v>
      </c>
      <c r="D6" s="1"/>
      <c r="E6" s="5"/>
      <c r="F6" s="1"/>
      <c r="G6" s="1"/>
      <c r="H6" s="1"/>
      <c r="I6" s="1"/>
      <c r="J6" s="1" t="s">
        <v>6</v>
      </c>
      <c r="K6" s="90"/>
      <c r="L6" s="1"/>
      <c r="M6" s="3"/>
      <c r="N6" s="5" t="s">
        <v>7</v>
      </c>
      <c r="O6" s="5"/>
      <c r="P6" s="80"/>
      <c r="Q6" s="80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4" t="s">
        <v>8</v>
      </c>
    </row>
    <row r="7" spans="2:29" x14ac:dyDescent="0.25">
      <c r="B7" s="1"/>
      <c r="C7" s="2" t="s">
        <v>109</v>
      </c>
      <c r="D7" s="1"/>
      <c r="E7" s="1"/>
      <c r="F7" s="1"/>
      <c r="G7" s="1"/>
      <c r="H7" s="1"/>
      <c r="I7" s="1"/>
      <c r="J7" s="1" t="s">
        <v>9</v>
      </c>
      <c r="K7" s="90"/>
      <c r="L7" s="1"/>
      <c r="M7" s="1"/>
      <c r="N7" s="1">
        <v>61</v>
      </c>
      <c r="O7" s="1"/>
      <c r="P7" s="79"/>
      <c r="Q7" s="79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" t="s">
        <v>109</v>
      </c>
    </row>
    <row r="8" spans="2:29" x14ac:dyDescent="0.25">
      <c r="B8" s="1"/>
      <c r="C8" s="1"/>
      <c r="D8" s="1"/>
      <c r="E8" s="1"/>
      <c r="F8" s="1"/>
      <c r="G8" s="1"/>
      <c r="H8" s="1"/>
      <c r="I8" s="1"/>
      <c r="J8" s="1"/>
      <c r="K8" s="90"/>
      <c r="L8" s="1"/>
      <c r="M8" s="1"/>
      <c r="N8" s="1"/>
      <c r="O8" s="1"/>
      <c r="P8" s="79"/>
      <c r="Q8" s="79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6"/>
    </row>
    <row r="9" spans="2:29" x14ac:dyDescent="0.25">
      <c r="B9" s="102" t="s">
        <v>110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</row>
    <row r="10" spans="2:29" x14ac:dyDescent="0.25">
      <c r="B10" s="1"/>
      <c r="C10" s="7" t="s">
        <v>10</v>
      </c>
      <c r="D10" s="8">
        <v>17697</v>
      </c>
      <c r="E10" s="1"/>
      <c r="F10" s="1"/>
      <c r="G10" s="1"/>
      <c r="H10" s="1"/>
      <c r="I10" s="1"/>
      <c r="J10" s="1"/>
      <c r="K10" s="90"/>
      <c r="L10" s="1"/>
      <c r="M10" s="1"/>
      <c r="N10" s="1"/>
      <c r="O10" s="1"/>
      <c r="P10" s="79"/>
      <c r="Q10" s="79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51" x14ac:dyDescent="0.25">
      <c r="B11" s="9" t="s">
        <v>11</v>
      </c>
      <c r="C11" s="9" t="s">
        <v>12</v>
      </c>
      <c r="D11" s="9" t="s">
        <v>13</v>
      </c>
      <c r="E11" s="9" t="s">
        <v>14</v>
      </c>
      <c r="F11" s="9" t="s">
        <v>15</v>
      </c>
      <c r="G11" s="9" t="s">
        <v>16</v>
      </c>
      <c r="H11" s="9" t="s">
        <v>10</v>
      </c>
      <c r="I11" s="9" t="s">
        <v>17</v>
      </c>
      <c r="J11" s="9" t="s">
        <v>18</v>
      </c>
      <c r="K11" s="91" t="s">
        <v>19</v>
      </c>
      <c r="L11" s="9" t="s">
        <v>20</v>
      </c>
      <c r="M11" s="9" t="s">
        <v>21</v>
      </c>
      <c r="N11" s="10">
        <v>0.5</v>
      </c>
      <c r="O11" s="10" t="s">
        <v>97</v>
      </c>
      <c r="P11" s="9" t="s">
        <v>22</v>
      </c>
      <c r="Q11" s="9" t="s">
        <v>121</v>
      </c>
      <c r="R11" s="11" t="s">
        <v>23</v>
      </c>
      <c r="S11" s="12" t="s">
        <v>24</v>
      </c>
      <c r="T11" s="12" t="s">
        <v>25</v>
      </c>
      <c r="U11" s="12" t="s">
        <v>26</v>
      </c>
      <c r="V11" s="12">
        <v>0.35</v>
      </c>
      <c r="W11" s="12" t="s">
        <v>27</v>
      </c>
      <c r="X11" s="12" t="s">
        <v>28</v>
      </c>
      <c r="Y11" s="12" t="s">
        <v>104</v>
      </c>
      <c r="Z11" s="9" t="s">
        <v>29</v>
      </c>
      <c r="AA11" s="9" t="s">
        <v>30</v>
      </c>
      <c r="AB11" s="9" t="s">
        <v>31</v>
      </c>
      <c r="AC11" s="9" t="s">
        <v>32</v>
      </c>
    </row>
    <row r="12" spans="2:29" ht="18.75" customHeight="1" x14ac:dyDescent="0.25">
      <c r="B12" s="13">
        <v>1</v>
      </c>
      <c r="C12" s="14" t="s">
        <v>123</v>
      </c>
      <c r="D12" s="14" t="s">
        <v>34</v>
      </c>
      <c r="E12" s="15" t="s">
        <v>35</v>
      </c>
      <c r="F12" s="16">
        <v>9.09</v>
      </c>
      <c r="G12" s="13" t="s">
        <v>26</v>
      </c>
      <c r="H12" s="13">
        <v>17697</v>
      </c>
      <c r="I12" s="17" t="s">
        <v>36</v>
      </c>
      <c r="J12" s="18">
        <v>5.03</v>
      </c>
      <c r="K12" s="48">
        <v>1</v>
      </c>
      <c r="L12" s="19">
        <f>H12*J12</f>
        <v>89015.91</v>
      </c>
      <c r="M12" s="19">
        <f>K12*L12</f>
        <v>89015.91</v>
      </c>
      <c r="N12" s="19">
        <f>M12*50/100</f>
        <v>44507.955000000002</v>
      </c>
      <c r="O12" s="19">
        <f>(M12+N12)*25%</f>
        <v>33380.966249999998</v>
      </c>
      <c r="P12" s="19">
        <f>SUM(M12+N12+O12)*10%</f>
        <v>16690.483124999999</v>
      </c>
      <c r="Q12" s="19"/>
      <c r="R12" s="19"/>
      <c r="S12" s="20"/>
      <c r="T12" s="20"/>
      <c r="U12" s="20"/>
      <c r="V12" s="20"/>
      <c r="W12" s="20"/>
      <c r="X12" s="20"/>
      <c r="Y12" s="20"/>
      <c r="Z12" s="20">
        <f>M12+N12+O12+P12+R12+S12+T12+U12+V12+W12+X12+Y12+Q12</f>
        <v>183595.31437499999</v>
      </c>
      <c r="AA12" s="20">
        <f t="shared" ref="AA12:AA30" si="0">Z12-N12-O12-P12</f>
        <v>89015.91</v>
      </c>
      <c r="AB12" s="20">
        <f>Z12-AA12</f>
        <v>94579.404374999984</v>
      </c>
      <c r="AC12" s="19">
        <f>Z12*12</f>
        <v>2203143.7725</v>
      </c>
    </row>
    <row r="13" spans="2:29" ht="18" customHeight="1" x14ac:dyDescent="0.25">
      <c r="B13" s="13">
        <v>2</v>
      </c>
      <c r="C13" s="14" t="s">
        <v>123</v>
      </c>
      <c r="D13" s="14" t="s">
        <v>38</v>
      </c>
      <c r="E13" s="15" t="s">
        <v>35</v>
      </c>
      <c r="F13" s="16">
        <v>33.049999999999997</v>
      </c>
      <c r="G13" s="13" t="s">
        <v>39</v>
      </c>
      <c r="H13" s="13">
        <v>17697</v>
      </c>
      <c r="I13" s="17" t="s">
        <v>40</v>
      </c>
      <c r="J13" s="21">
        <v>5.39</v>
      </c>
      <c r="K13" s="48">
        <v>1</v>
      </c>
      <c r="L13" s="19">
        <f>H13*J13</f>
        <v>95386.829999999987</v>
      </c>
      <c r="M13" s="19">
        <f>K13*L13</f>
        <v>95386.829999999987</v>
      </c>
      <c r="N13" s="19">
        <f t="shared" ref="N13:N26" si="1">M13*50/100</f>
        <v>47693.414999999994</v>
      </c>
      <c r="O13" s="19">
        <f t="shared" ref="O13:O30" si="2">(M13+N13)*25%</f>
        <v>35770.061249999999</v>
      </c>
      <c r="P13" s="19">
        <f t="shared" ref="P13:P20" si="3">SUM(M13+N13+O13)*10%</f>
        <v>17885.030624999999</v>
      </c>
      <c r="Q13" s="19">
        <f>(M13+N13+O13)*50%</f>
        <v>89425.153124999997</v>
      </c>
      <c r="R13" s="19"/>
      <c r="S13" s="20"/>
      <c r="T13" s="20"/>
      <c r="U13" s="20"/>
      <c r="V13" s="20"/>
      <c r="W13" s="20"/>
      <c r="X13" s="20"/>
      <c r="Y13" s="20"/>
      <c r="Z13" s="20">
        <f t="shared" ref="Z13:Z30" si="4">M13+N13+O13+P13+R13+S13+T13+U13+V13+W13+X13+Y13+Q13</f>
        <v>286160.49</v>
      </c>
      <c r="AA13" s="20">
        <f t="shared" si="0"/>
        <v>184811.98312500003</v>
      </c>
      <c r="AB13" s="20">
        <f t="shared" ref="AB13:AB44" si="5">Z13-AA13</f>
        <v>101348.50687499996</v>
      </c>
      <c r="AC13" s="19">
        <f t="shared" ref="AC13:AC30" si="6">Z13*12</f>
        <v>3433925.88</v>
      </c>
    </row>
    <row r="14" spans="2:29" ht="24.75" customHeight="1" x14ac:dyDescent="0.25">
      <c r="B14" s="13">
        <v>3</v>
      </c>
      <c r="C14" s="14" t="s">
        <v>123</v>
      </c>
      <c r="D14" s="22" t="s">
        <v>41</v>
      </c>
      <c r="E14" s="24" t="s">
        <v>35</v>
      </c>
      <c r="F14" s="26">
        <v>38.03</v>
      </c>
      <c r="G14" s="25" t="s">
        <v>106</v>
      </c>
      <c r="H14" s="25">
        <v>17697</v>
      </c>
      <c r="I14" s="27" t="s">
        <v>40</v>
      </c>
      <c r="J14" s="26">
        <v>5.39</v>
      </c>
      <c r="K14" s="92">
        <v>0.5</v>
      </c>
      <c r="L14" s="28">
        <f>H14*J14</f>
        <v>95386.829999999987</v>
      </c>
      <c r="M14" s="28">
        <f t="shared" ref="M14:M28" si="7">K14*L14</f>
        <v>47693.414999999994</v>
      </c>
      <c r="N14" s="19">
        <f t="shared" si="1"/>
        <v>23846.707499999997</v>
      </c>
      <c r="O14" s="28">
        <f t="shared" si="2"/>
        <v>17885.030624999999</v>
      </c>
      <c r="P14" s="28">
        <f t="shared" si="3"/>
        <v>8942.5153124999997</v>
      </c>
      <c r="Q14" s="28"/>
      <c r="R14" s="19"/>
      <c r="S14" s="20"/>
      <c r="T14" s="20"/>
      <c r="U14" s="20"/>
      <c r="V14" s="20"/>
      <c r="W14" s="20"/>
      <c r="X14" s="20"/>
      <c r="Y14" s="20"/>
      <c r="Z14" s="20">
        <f t="shared" si="4"/>
        <v>98367.66843749999</v>
      </c>
      <c r="AA14" s="20">
        <f t="shared" si="0"/>
        <v>47693.415000000001</v>
      </c>
      <c r="AB14" s="20">
        <f t="shared" si="5"/>
        <v>50674.253437499989</v>
      </c>
      <c r="AC14" s="19">
        <f t="shared" si="6"/>
        <v>1180412.0212499998</v>
      </c>
    </row>
    <row r="15" spans="2:29" ht="18" customHeight="1" x14ac:dyDescent="0.25">
      <c r="B15" s="13">
        <v>4</v>
      </c>
      <c r="C15" s="14" t="s">
        <v>123</v>
      </c>
      <c r="D15" s="14" t="s">
        <v>41</v>
      </c>
      <c r="E15" s="23" t="s">
        <v>35</v>
      </c>
      <c r="F15" s="16">
        <v>20.079999999999998</v>
      </c>
      <c r="G15" s="13" t="s">
        <v>39</v>
      </c>
      <c r="H15" s="13">
        <v>17697</v>
      </c>
      <c r="I15" s="17" t="s">
        <v>40</v>
      </c>
      <c r="J15" s="16">
        <v>5.24</v>
      </c>
      <c r="K15" s="48">
        <v>0.5</v>
      </c>
      <c r="L15" s="19">
        <f>H15*J15</f>
        <v>92732.28</v>
      </c>
      <c r="M15" s="19">
        <f>K15*L15</f>
        <v>46366.14</v>
      </c>
      <c r="N15" s="19">
        <f t="shared" si="1"/>
        <v>23183.07</v>
      </c>
      <c r="O15" s="19">
        <f t="shared" si="2"/>
        <v>17387.302499999998</v>
      </c>
      <c r="P15" s="19">
        <f t="shared" si="3"/>
        <v>8693.651249999999</v>
      </c>
      <c r="Q15" s="19"/>
      <c r="R15" s="19"/>
      <c r="S15" s="20"/>
      <c r="T15" s="20"/>
      <c r="U15" s="20"/>
      <c r="V15" s="20"/>
      <c r="W15" s="20"/>
      <c r="X15" s="20"/>
      <c r="Y15" s="20"/>
      <c r="Z15" s="20">
        <f t="shared" si="4"/>
        <v>95630.163749999978</v>
      </c>
      <c r="AA15" s="20">
        <f t="shared" si="0"/>
        <v>46366.13999999997</v>
      </c>
      <c r="AB15" s="20">
        <f t="shared" si="5"/>
        <v>49264.023750000008</v>
      </c>
      <c r="AC15" s="19">
        <f t="shared" si="6"/>
        <v>1147561.9649999999</v>
      </c>
    </row>
    <row r="16" spans="2:29" ht="20.25" customHeight="1" x14ac:dyDescent="0.25">
      <c r="B16" s="13">
        <v>5</v>
      </c>
      <c r="C16" s="14" t="s">
        <v>123</v>
      </c>
      <c r="D16" s="22" t="s">
        <v>42</v>
      </c>
      <c r="E16" s="24" t="s">
        <v>35</v>
      </c>
      <c r="F16" s="16">
        <v>8.0500000000000007</v>
      </c>
      <c r="G16" s="13" t="s">
        <v>26</v>
      </c>
      <c r="H16" s="13">
        <v>17697</v>
      </c>
      <c r="I16" s="17" t="s">
        <v>99</v>
      </c>
      <c r="J16" s="16">
        <v>4.74</v>
      </c>
      <c r="K16" s="48"/>
      <c r="L16" s="19">
        <f t="shared" ref="L16:L43" si="8">H16*J16</f>
        <v>83883.78</v>
      </c>
      <c r="M16" s="19">
        <f t="shared" si="7"/>
        <v>0</v>
      </c>
      <c r="N16" s="19">
        <f t="shared" si="1"/>
        <v>0</v>
      </c>
      <c r="O16" s="19">
        <f t="shared" si="2"/>
        <v>0</v>
      </c>
      <c r="P16" s="19">
        <f t="shared" si="3"/>
        <v>0</v>
      </c>
      <c r="Q16" s="19"/>
      <c r="R16" s="19"/>
      <c r="S16" s="20"/>
      <c r="T16" s="20"/>
      <c r="U16" s="29">
        <f>(M16+N16+O16)*35%</f>
        <v>0</v>
      </c>
      <c r="V16" s="20"/>
      <c r="W16" s="20"/>
      <c r="X16" s="20"/>
      <c r="Y16" s="20"/>
      <c r="Z16" s="20">
        <f t="shared" si="4"/>
        <v>0</v>
      </c>
      <c r="AA16" s="20">
        <f t="shared" si="0"/>
        <v>0</v>
      </c>
      <c r="AB16" s="20">
        <f t="shared" si="5"/>
        <v>0</v>
      </c>
      <c r="AC16" s="19">
        <f t="shared" si="6"/>
        <v>0</v>
      </c>
    </row>
    <row r="17" spans="2:29" ht="19.5" customHeight="1" x14ac:dyDescent="0.25">
      <c r="B17" s="13">
        <v>12</v>
      </c>
      <c r="C17" s="14" t="s">
        <v>123</v>
      </c>
      <c r="D17" s="22" t="s">
        <v>42</v>
      </c>
      <c r="E17" s="24" t="s">
        <v>35</v>
      </c>
      <c r="F17" s="26">
        <v>8.0500000000000007</v>
      </c>
      <c r="G17" s="25">
        <v>2</v>
      </c>
      <c r="H17" s="13">
        <v>17697</v>
      </c>
      <c r="I17" s="27" t="s">
        <v>57</v>
      </c>
      <c r="J17" s="26">
        <v>4.33</v>
      </c>
      <c r="K17" s="92">
        <v>0.5</v>
      </c>
      <c r="L17" s="19">
        <f t="shared" si="8"/>
        <v>76628.009999999995</v>
      </c>
      <c r="M17" s="28">
        <f>K17*L17</f>
        <v>38314.004999999997</v>
      </c>
      <c r="N17" s="19">
        <f t="shared" si="1"/>
        <v>19157.002499999999</v>
      </c>
      <c r="O17" s="19">
        <f t="shared" si="2"/>
        <v>14367.751874999998</v>
      </c>
      <c r="P17" s="28">
        <f>SUM(M17+N17+O17)*10%</f>
        <v>7183.8759375</v>
      </c>
      <c r="Q17" s="28"/>
      <c r="R17" s="30"/>
      <c r="S17" s="31"/>
      <c r="T17" s="31"/>
      <c r="U17" s="31"/>
      <c r="V17" s="31"/>
      <c r="W17" s="31"/>
      <c r="X17" s="31"/>
      <c r="Y17" s="31"/>
      <c r="Z17" s="20">
        <f t="shared" si="4"/>
        <v>79022.635312499988</v>
      </c>
      <c r="AA17" s="20">
        <f t="shared" si="0"/>
        <v>38314.004999999983</v>
      </c>
      <c r="AB17" s="20">
        <f t="shared" si="5"/>
        <v>40708.630312500005</v>
      </c>
      <c r="AC17" s="19">
        <f t="shared" si="6"/>
        <v>948271.6237499998</v>
      </c>
    </row>
    <row r="18" spans="2:29" ht="19.5" customHeight="1" x14ac:dyDescent="0.25">
      <c r="B18" s="13">
        <v>12</v>
      </c>
      <c r="C18" s="14" t="s">
        <v>123</v>
      </c>
      <c r="D18" s="22" t="s">
        <v>42</v>
      </c>
      <c r="E18" s="24" t="s">
        <v>35</v>
      </c>
      <c r="F18" s="26">
        <v>8.0500000000000007</v>
      </c>
      <c r="G18" s="25">
        <v>2</v>
      </c>
      <c r="H18" s="13">
        <v>17697</v>
      </c>
      <c r="I18" s="27" t="s">
        <v>57</v>
      </c>
      <c r="J18" s="26">
        <v>4.33</v>
      </c>
      <c r="K18" s="92">
        <v>0.5</v>
      </c>
      <c r="L18" s="19">
        <f t="shared" si="8"/>
        <v>76628.009999999995</v>
      </c>
      <c r="M18" s="28">
        <f>K18*L18</f>
        <v>38314.004999999997</v>
      </c>
      <c r="N18" s="19">
        <f t="shared" si="1"/>
        <v>19157.002499999999</v>
      </c>
      <c r="O18" s="19">
        <f t="shared" si="2"/>
        <v>14367.751874999998</v>
      </c>
      <c r="P18" s="28">
        <f>SUM(M18+N18+O18)*10%</f>
        <v>7183.8759375</v>
      </c>
      <c r="Q18" s="28"/>
      <c r="R18" s="30"/>
      <c r="S18" s="31"/>
      <c r="T18" s="31"/>
      <c r="U18" s="31"/>
      <c r="V18" s="31"/>
      <c r="W18" s="31"/>
      <c r="X18" s="31"/>
      <c r="Y18" s="31"/>
      <c r="Z18" s="20">
        <f t="shared" si="4"/>
        <v>79022.635312499988</v>
      </c>
      <c r="AA18" s="20">
        <f t="shared" si="0"/>
        <v>38314.004999999983</v>
      </c>
      <c r="AB18" s="20">
        <f t="shared" si="5"/>
        <v>40708.630312500005</v>
      </c>
      <c r="AC18" s="19">
        <f t="shared" si="6"/>
        <v>948271.6237499998</v>
      </c>
    </row>
    <row r="19" spans="2:29" ht="15.75" customHeight="1" x14ac:dyDescent="0.25">
      <c r="B19" s="13">
        <v>6</v>
      </c>
      <c r="C19" s="14" t="s">
        <v>123</v>
      </c>
      <c r="D19" s="14" t="s">
        <v>44</v>
      </c>
      <c r="E19" s="15" t="s">
        <v>35</v>
      </c>
      <c r="F19" s="16">
        <v>32.03</v>
      </c>
      <c r="G19" s="13" t="s">
        <v>45</v>
      </c>
      <c r="H19" s="13">
        <v>17697</v>
      </c>
      <c r="I19" s="17" t="s">
        <v>46</v>
      </c>
      <c r="J19" s="15">
        <v>4.1900000000000004</v>
      </c>
      <c r="K19" s="48">
        <v>0.5</v>
      </c>
      <c r="L19" s="19">
        <f t="shared" si="8"/>
        <v>74150.430000000008</v>
      </c>
      <c r="M19" s="19">
        <f t="shared" si="7"/>
        <v>37075.215000000004</v>
      </c>
      <c r="N19" s="19">
        <f t="shared" si="1"/>
        <v>18537.607500000002</v>
      </c>
      <c r="O19" s="19">
        <f t="shared" si="2"/>
        <v>13903.205625000002</v>
      </c>
      <c r="P19" s="19">
        <f t="shared" si="3"/>
        <v>6951.6028125000012</v>
      </c>
      <c r="Q19" s="19"/>
      <c r="R19" s="19"/>
      <c r="S19" s="20"/>
      <c r="T19" s="20"/>
      <c r="U19" s="29"/>
      <c r="V19" s="20"/>
      <c r="W19" s="20"/>
      <c r="X19" s="20"/>
      <c r="Y19" s="20"/>
      <c r="Z19" s="20">
        <f t="shared" si="4"/>
        <v>76467.630937500013</v>
      </c>
      <c r="AA19" s="20">
        <f t="shared" si="0"/>
        <v>37075.215000000011</v>
      </c>
      <c r="AB19" s="20">
        <f t="shared" si="5"/>
        <v>39392.415937500002</v>
      </c>
      <c r="AC19" s="19">
        <f t="shared" si="6"/>
        <v>917611.57125000015</v>
      </c>
    </row>
    <row r="20" spans="2:29" ht="19.5" customHeight="1" x14ac:dyDescent="0.25">
      <c r="B20" s="25">
        <v>7</v>
      </c>
      <c r="C20" s="14" t="s">
        <v>123</v>
      </c>
      <c r="D20" s="22" t="s">
        <v>48</v>
      </c>
      <c r="E20" s="24" t="s">
        <v>35</v>
      </c>
      <c r="F20" s="26">
        <v>10.01</v>
      </c>
      <c r="G20" s="25" t="s">
        <v>45</v>
      </c>
      <c r="H20" s="25">
        <v>17697</v>
      </c>
      <c r="I20" s="27" t="s">
        <v>49</v>
      </c>
      <c r="J20" s="24">
        <v>4.46</v>
      </c>
      <c r="K20" s="92">
        <v>0.5</v>
      </c>
      <c r="L20" s="19">
        <f t="shared" si="8"/>
        <v>78928.62</v>
      </c>
      <c r="M20" s="28">
        <f>K20*L20</f>
        <v>39464.31</v>
      </c>
      <c r="N20" s="19"/>
      <c r="O20" s="19">
        <f t="shared" si="2"/>
        <v>9866.0774999999994</v>
      </c>
      <c r="P20" s="19">
        <f t="shared" si="3"/>
        <v>4933.0387499999997</v>
      </c>
      <c r="Q20" s="19"/>
      <c r="R20" s="28"/>
      <c r="S20" s="29"/>
      <c r="T20" s="29"/>
      <c r="U20" s="29"/>
      <c r="V20" s="29"/>
      <c r="W20" s="29"/>
      <c r="X20" s="29">
        <f>D10*30%*K20</f>
        <v>2654.5499999999997</v>
      </c>
      <c r="Y20" s="29"/>
      <c r="Z20" s="20">
        <f t="shared" si="4"/>
        <v>56917.97625</v>
      </c>
      <c r="AA20" s="20">
        <f t="shared" si="0"/>
        <v>42118.86</v>
      </c>
      <c r="AB20" s="20">
        <f t="shared" si="5"/>
        <v>14799.116249999999</v>
      </c>
      <c r="AC20" s="19">
        <f t="shared" si="6"/>
        <v>683015.71499999997</v>
      </c>
    </row>
    <row r="21" spans="2:29" ht="17.25" customHeight="1" x14ac:dyDescent="0.25">
      <c r="B21" s="13">
        <v>9</v>
      </c>
      <c r="C21" s="14" t="s">
        <v>123</v>
      </c>
      <c r="D21" s="22" t="s">
        <v>103</v>
      </c>
      <c r="E21" s="24" t="s">
        <v>35</v>
      </c>
      <c r="F21" s="26">
        <v>14.05</v>
      </c>
      <c r="G21" s="25" t="s">
        <v>26</v>
      </c>
      <c r="H21" s="13">
        <v>17697</v>
      </c>
      <c r="I21" s="27" t="s">
        <v>51</v>
      </c>
      <c r="J21" s="24">
        <v>4.95</v>
      </c>
      <c r="K21" s="92">
        <v>1</v>
      </c>
      <c r="L21" s="19">
        <f t="shared" si="8"/>
        <v>87600.150000000009</v>
      </c>
      <c r="M21" s="28">
        <f t="shared" si="7"/>
        <v>87600.150000000009</v>
      </c>
      <c r="N21" s="19">
        <f t="shared" si="1"/>
        <v>43800.074999999997</v>
      </c>
      <c r="O21" s="19">
        <f t="shared" si="2"/>
        <v>32850.056250000001</v>
      </c>
      <c r="P21" s="28">
        <f>SUM(M21+N21+O21)*10%</f>
        <v>16425.028125000001</v>
      </c>
      <c r="Q21" s="28"/>
      <c r="R21" s="28"/>
      <c r="S21" s="29"/>
      <c r="T21" s="29"/>
      <c r="U21" s="29">
        <f>(M21+N21+O21)*35%</f>
        <v>57487.598437499997</v>
      </c>
      <c r="V21" s="29"/>
      <c r="W21" s="29"/>
      <c r="X21" s="29"/>
      <c r="Y21" s="29"/>
      <c r="Z21" s="20">
        <f t="shared" si="4"/>
        <v>238162.90781250002</v>
      </c>
      <c r="AA21" s="20">
        <f t="shared" si="0"/>
        <v>145087.74843750001</v>
      </c>
      <c r="AB21" s="20">
        <f t="shared" si="5"/>
        <v>93075.159375000017</v>
      </c>
      <c r="AC21" s="19">
        <f t="shared" si="6"/>
        <v>2857954.8937500003</v>
      </c>
    </row>
    <row r="22" spans="2:29" ht="21.75" customHeight="1" x14ac:dyDescent="0.25">
      <c r="B22" s="25">
        <v>10</v>
      </c>
      <c r="C22" s="14" t="s">
        <v>123</v>
      </c>
      <c r="D22" s="22" t="s">
        <v>52</v>
      </c>
      <c r="E22" s="24" t="s">
        <v>53</v>
      </c>
      <c r="F22" s="26">
        <v>13.04</v>
      </c>
      <c r="G22" s="25" t="s">
        <v>45</v>
      </c>
      <c r="H22" s="13">
        <v>17697</v>
      </c>
      <c r="I22" s="27" t="s">
        <v>54</v>
      </c>
      <c r="J22" s="26">
        <v>3.61</v>
      </c>
      <c r="K22" s="92">
        <v>0.5</v>
      </c>
      <c r="L22" s="19">
        <f>H22*J22</f>
        <v>63886.17</v>
      </c>
      <c r="M22" s="28">
        <f t="shared" si="7"/>
        <v>31943.084999999999</v>
      </c>
      <c r="N22" s="19">
        <f t="shared" si="1"/>
        <v>15971.5425</v>
      </c>
      <c r="O22" s="19">
        <f t="shared" si="2"/>
        <v>11978.656875000001</v>
      </c>
      <c r="P22" s="28">
        <f>SUM(M22+N22+O22)*10%</f>
        <v>5989.3284375000003</v>
      </c>
      <c r="Q22" s="28"/>
      <c r="R22" s="30"/>
      <c r="S22" s="31"/>
      <c r="T22" s="31"/>
      <c r="U22" s="31"/>
      <c r="V22" s="31"/>
      <c r="W22" s="31"/>
      <c r="X22" s="31"/>
      <c r="Y22" s="29"/>
      <c r="Z22" s="20">
        <f t="shared" si="4"/>
        <v>65882.61281250001</v>
      </c>
      <c r="AA22" s="20">
        <f t="shared" si="0"/>
        <v>31943.085000000014</v>
      </c>
      <c r="AB22" s="20">
        <f t="shared" si="5"/>
        <v>33939.527812499997</v>
      </c>
      <c r="AC22" s="19">
        <f t="shared" si="6"/>
        <v>790591.35375000013</v>
      </c>
    </row>
    <row r="23" spans="2:29" ht="17.25" customHeight="1" x14ac:dyDescent="0.25">
      <c r="B23" s="13">
        <v>11</v>
      </c>
      <c r="C23" s="14" t="s">
        <v>123</v>
      </c>
      <c r="D23" s="14" t="s">
        <v>56</v>
      </c>
      <c r="E23" s="24" t="s">
        <v>35</v>
      </c>
      <c r="F23" s="16">
        <v>40.049999999999997</v>
      </c>
      <c r="G23" s="25" t="s">
        <v>45</v>
      </c>
      <c r="H23" s="13">
        <v>17697</v>
      </c>
      <c r="I23" s="27" t="s">
        <v>57</v>
      </c>
      <c r="J23" s="26">
        <v>4.7300000000000004</v>
      </c>
      <c r="K23" s="92">
        <v>0.5</v>
      </c>
      <c r="L23" s="19">
        <f t="shared" si="8"/>
        <v>83706.810000000012</v>
      </c>
      <c r="M23" s="28">
        <f>K23*L23</f>
        <v>41853.405000000006</v>
      </c>
      <c r="N23" s="19">
        <f t="shared" si="1"/>
        <v>20926.702500000003</v>
      </c>
      <c r="O23" s="19">
        <f t="shared" si="2"/>
        <v>15695.026875000003</v>
      </c>
      <c r="P23" s="28">
        <f>SUM(M23+N23+O23)*10%</f>
        <v>7847.5134375000025</v>
      </c>
      <c r="Q23" s="28"/>
      <c r="R23" s="19"/>
      <c r="S23" s="20"/>
      <c r="T23" s="20"/>
      <c r="U23" s="20"/>
      <c r="V23" s="20"/>
      <c r="W23" s="20"/>
      <c r="X23" s="20"/>
      <c r="Y23" s="20"/>
      <c r="Z23" s="20">
        <f t="shared" si="4"/>
        <v>86322.647812500029</v>
      </c>
      <c r="AA23" s="20">
        <f t="shared" si="0"/>
        <v>41853.405000000021</v>
      </c>
      <c r="AB23" s="20">
        <f t="shared" si="5"/>
        <v>44469.242812500008</v>
      </c>
      <c r="AC23" s="19">
        <f t="shared" si="6"/>
        <v>1035871.7737500004</v>
      </c>
    </row>
    <row r="24" spans="2:29" ht="19.5" customHeight="1" x14ac:dyDescent="0.25">
      <c r="B24" s="13">
        <v>12</v>
      </c>
      <c r="C24" s="14" t="s">
        <v>123</v>
      </c>
      <c r="D24" s="22" t="s">
        <v>58</v>
      </c>
      <c r="E24" s="24" t="s">
        <v>35</v>
      </c>
      <c r="F24" s="26">
        <v>38.03</v>
      </c>
      <c r="G24" s="25" t="s">
        <v>45</v>
      </c>
      <c r="H24" s="13">
        <v>17697</v>
      </c>
      <c r="I24" s="27" t="s">
        <v>57</v>
      </c>
      <c r="J24" s="26">
        <v>4.7300000000000004</v>
      </c>
      <c r="K24" s="92">
        <v>0.5</v>
      </c>
      <c r="L24" s="19">
        <f t="shared" si="8"/>
        <v>83706.810000000012</v>
      </c>
      <c r="M24" s="28">
        <f>K24*L24</f>
        <v>41853.405000000006</v>
      </c>
      <c r="N24" s="19">
        <f t="shared" si="1"/>
        <v>20926.702500000003</v>
      </c>
      <c r="O24" s="19">
        <f t="shared" si="2"/>
        <v>15695.026875000003</v>
      </c>
      <c r="P24" s="28">
        <f>SUM(M24+N24+O24)*10%</f>
        <v>7847.5134375000025</v>
      </c>
      <c r="Q24" s="28"/>
      <c r="R24" s="30"/>
      <c r="S24" s="31"/>
      <c r="T24" s="31"/>
      <c r="U24" s="31"/>
      <c r="V24" s="31"/>
      <c r="W24" s="31"/>
      <c r="X24" s="31"/>
      <c r="Y24" s="31"/>
      <c r="Z24" s="20">
        <f t="shared" si="4"/>
        <v>86322.647812500029</v>
      </c>
      <c r="AA24" s="20">
        <f t="shared" si="0"/>
        <v>41853.405000000021</v>
      </c>
      <c r="AB24" s="20">
        <f t="shared" si="5"/>
        <v>44469.242812500008</v>
      </c>
      <c r="AC24" s="19">
        <f t="shared" si="6"/>
        <v>1035871.7737500004</v>
      </c>
    </row>
    <row r="25" spans="2:29" x14ac:dyDescent="0.25">
      <c r="B25" s="13">
        <v>13</v>
      </c>
      <c r="C25" s="14" t="s">
        <v>123</v>
      </c>
      <c r="D25" s="22" t="s">
        <v>60</v>
      </c>
      <c r="E25" s="24" t="s">
        <v>35</v>
      </c>
      <c r="F25" s="26">
        <v>9.01</v>
      </c>
      <c r="G25" s="25" t="s">
        <v>45</v>
      </c>
      <c r="H25" s="13">
        <v>17697</v>
      </c>
      <c r="I25" s="27" t="s">
        <v>57</v>
      </c>
      <c r="J25" s="26">
        <v>4.33</v>
      </c>
      <c r="K25" s="92">
        <v>0.5</v>
      </c>
      <c r="L25" s="19">
        <f t="shared" si="8"/>
        <v>76628.009999999995</v>
      </c>
      <c r="M25" s="28">
        <f t="shared" si="7"/>
        <v>38314.004999999997</v>
      </c>
      <c r="N25" s="19">
        <f t="shared" si="1"/>
        <v>19157.002499999999</v>
      </c>
      <c r="O25" s="19">
        <f t="shared" si="2"/>
        <v>14367.751874999998</v>
      </c>
      <c r="P25" s="28">
        <f t="shared" ref="P25:P30" si="9">SUM(M25+N25+O25)*10%</f>
        <v>7183.8759375</v>
      </c>
      <c r="Q25" s="28"/>
      <c r="R25" s="30"/>
      <c r="S25" s="31"/>
      <c r="T25" s="31"/>
      <c r="U25" s="31"/>
      <c r="V25" s="31"/>
      <c r="W25" s="31"/>
      <c r="X25" s="31"/>
      <c r="Y25" s="31"/>
      <c r="Z25" s="20">
        <f t="shared" si="4"/>
        <v>79022.635312499988</v>
      </c>
      <c r="AA25" s="20">
        <f t="shared" si="0"/>
        <v>38314.004999999983</v>
      </c>
      <c r="AB25" s="20">
        <f t="shared" si="5"/>
        <v>40708.630312500005</v>
      </c>
      <c r="AC25" s="19">
        <f t="shared" si="6"/>
        <v>948271.6237499998</v>
      </c>
    </row>
    <row r="26" spans="2:29" x14ac:dyDescent="0.25">
      <c r="B26" s="13">
        <v>14</v>
      </c>
      <c r="C26" s="14" t="s">
        <v>123</v>
      </c>
      <c r="D26" s="22" t="s">
        <v>100</v>
      </c>
      <c r="E26" s="24" t="s">
        <v>35</v>
      </c>
      <c r="F26" s="26">
        <v>40.049999999999997</v>
      </c>
      <c r="G26" s="25" t="s">
        <v>45</v>
      </c>
      <c r="H26" s="13">
        <v>17697</v>
      </c>
      <c r="I26" s="27" t="s">
        <v>57</v>
      </c>
      <c r="J26" s="33">
        <v>4.7300000000000004</v>
      </c>
      <c r="K26" s="92">
        <v>0.5</v>
      </c>
      <c r="L26" s="19">
        <f t="shared" si="8"/>
        <v>83706.810000000012</v>
      </c>
      <c r="M26" s="28">
        <f>K26*L26</f>
        <v>41853.405000000006</v>
      </c>
      <c r="N26" s="19">
        <f t="shared" si="1"/>
        <v>20926.702500000003</v>
      </c>
      <c r="O26" s="19">
        <f t="shared" si="2"/>
        <v>15695.026875000003</v>
      </c>
      <c r="P26" s="28">
        <f t="shared" si="9"/>
        <v>7847.5134375000025</v>
      </c>
      <c r="Q26" s="28"/>
      <c r="R26" s="28"/>
      <c r="S26" s="29"/>
      <c r="T26" s="29"/>
      <c r="U26" s="29"/>
      <c r="V26" s="29"/>
      <c r="W26" s="29"/>
      <c r="X26" s="29"/>
      <c r="Y26" s="29"/>
      <c r="Z26" s="20">
        <f t="shared" si="4"/>
        <v>86322.647812500029</v>
      </c>
      <c r="AA26" s="20">
        <f t="shared" si="0"/>
        <v>41853.405000000021</v>
      </c>
      <c r="AB26" s="20">
        <f t="shared" si="5"/>
        <v>44469.242812500008</v>
      </c>
      <c r="AC26" s="19">
        <f t="shared" si="6"/>
        <v>1035871.7737500004</v>
      </c>
    </row>
    <row r="27" spans="2:29" x14ac:dyDescent="0.25">
      <c r="B27" s="13">
        <v>15</v>
      </c>
      <c r="C27" s="14" t="s">
        <v>123</v>
      </c>
      <c r="D27" s="14" t="s">
        <v>62</v>
      </c>
      <c r="E27" s="15" t="s">
        <v>63</v>
      </c>
      <c r="F27" s="34">
        <v>14.01</v>
      </c>
      <c r="G27" s="25" t="s">
        <v>45</v>
      </c>
      <c r="H27" s="13">
        <v>17697</v>
      </c>
      <c r="I27" s="17" t="s">
        <v>64</v>
      </c>
      <c r="J27" s="16">
        <v>3.57</v>
      </c>
      <c r="K27" s="48">
        <v>1</v>
      </c>
      <c r="L27" s="19">
        <f t="shared" si="8"/>
        <v>63178.289999999994</v>
      </c>
      <c r="M27" s="19">
        <f t="shared" si="7"/>
        <v>63178.289999999994</v>
      </c>
      <c r="N27" s="28"/>
      <c r="O27" s="19"/>
      <c r="P27" s="28">
        <f t="shared" si="9"/>
        <v>6317.8289999999997</v>
      </c>
      <c r="Q27" s="28"/>
      <c r="R27" s="19"/>
      <c r="S27" s="20"/>
      <c r="T27" s="20"/>
      <c r="U27" s="20"/>
      <c r="V27" s="20"/>
      <c r="W27" s="20"/>
      <c r="X27" s="20"/>
      <c r="Y27" s="20"/>
      <c r="Z27" s="20">
        <f t="shared" si="4"/>
        <v>69496.118999999992</v>
      </c>
      <c r="AA27" s="20">
        <f t="shared" si="0"/>
        <v>63178.289999999994</v>
      </c>
      <c r="AB27" s="20">
        <f t="shared" si="5"/>
        <v>6317.8289999999979</v>
      </c>
      <c r="AC27" s="19">
        <f t="shared" si="6"/>
        <v>833953.42799999984</v>
      </c>
    </row>
    <row r="28" spans="2:29" x14ac:dyDescent="0.25">
      <c r="B28" s="13">
        <v>16</v>
      </c>
      <c r="C28" s="14" t="s">
        <v>123</v>
      </c>
      <c r="D28" s="22" t="s">
        <v>107</v>
      </c>
      <c r="E28" s="24" t="s">
        <v>35</v>
      </c>
      <c r="F28" s="34">
        <v>0.04</v>
      </c>
      <c r="G28" s="25" t="s">
        <v>45</v>
      </c>
      <c r="H28" s="25">
        <v>17697</v>
      </c>
      <c r="I28" s="27" t="s">
        <v>66</v>
      </c>
      <c r="J28" s="26">
        <v>2.94</v>
      </c>
      <c r="K28" s="92">
        <v>1</v>
      </c>
      <c r="L28" s="19">
        <f t="shared" si="8"/>
        <v>52029.18</v>
      </c>
      <c r="M28" s="19">
        <f t="shared" si="7"/>
        <v>52029.18</v>
      </c>
      <c r="N28" s="28"/>
      <c r="O28" s="19"/>
      <c r="P28" s="28">
        <f t="shared" si="9"/>
        <v>5202.9180000000006</v>
      </c>
      <c r="Q28" s="28"/>
      <c r="R28" s="19"/>
      <c r="S28" s="20"/>
      <c r="T28" s="20"/>
      <c r="U28" s="20"/>
      <c r="V28" s="20"/>
      <c r="W28" s="20"/>
      <c r="X28" s="20"/>
      <c r="Y28" s="20"/>
      <c r="Z28" s="20">
        <f t="shared" si="4"/>
        <v>57232.097999999998</v>
      </c>
      <c r="AA28" s="20">
        <f t="shared" si="0"/>
        <v>52029.18</v>
      </c>
      <c r="AB28" s="20">
        <f t="shared" si="5"/>
        <v>5202.9179999999978</v>
      </c>
      <c r="AC28" s="19">
        <f t="shared" si="6"/>
        <v>686785.17599999998</v>
      </c>
    </row>
    <row r="29" spans="2:29" x14ac:dyDescent="0.25">
      <c r="B29" s="13">
        <v>16</v>
      </c>
      <c r="C29" s="14" t="s">
        <v>123</v>
      </c>
      <c r="D29" s="14" t="s">
        <v>65</v>
      </c>
      <c r="E29" s="15" t="s">
        <v>63</v>
      </c>
      <c r="F29" s="26">
        <v>0.04</v>
      </c>
      <c r="G29" s="25" t="s">
        <v>45</v>
      </c>
      <c r="H29" s="25">
        <v>17697</v>
      </c>
      <c r="I29" s="27" t="s">
        <v>66</v>
      </c>
      <c r="J29" s="33">
        <v>2.94</v>
      </c>
      <c r="K29" s="48">
        <v>1</v>
      </c>
      <c r="L29" s="19">
        <f t="shared" si="8"/>
        <v>52029.18</v>
      </c>
      <c r="M29" s="19">
        <f>K29*L29</f>
        <v>52029.18</v>
      </c>
      <c r="N29" s="28"/>
      <c r="O29" s="19"/>
      <c r="P29" s="28">
        <f t="shared" si="9"/>
        <v>5202.9180000000006</v>
      </c>
      <c r="Q29" s="28"/>
      <c r="R29" s="19"/>
      <c r="S29" s="20"/>
      <c r="T29" s="20"/>
      <c r="U29" s="20"/>
      <c r="V29" s="20"/>
      <c r="W29" s="20"/>
      <c r="X29" s="20"/>
      <c r="Y29" s="20"/>
      <c r="Z29" s="20">
        <f t="shared" si="4"/>
        <v>57232.097999999998</v>
      </c>
      <c r="AA29" s="20">
        <f t="shared" si="0"/>
        <v>52029.18</v>
      </c>
      <c r="AB29" s="20">
        <f t="shared" si="5"/>
        <v>5202.9179999999978</v>
      </c>
      <c r="AC29" s="19">
        <f t="shared" si="6"/>
        <v>686785.17599999998</v>
      </c>
    </row>
    <row r="30" spans="2:29" x14ac:dyDescent="0.25">
      <c r="B30" s="13">
        <v>17</v>
      </c>
      <c r="C30" s="14" t="s">
        <v>123</v>
      </c>
      <c r="D30" s="14" t="s">
        <v>68</v>
      </c>
      <c r="E30" s="15" t="s">
        <v>53</v>
      </c>
      <c r="F30" s="16">
        <v>10.01</v>
      </c>
      <c r="G30" s="25" t="s">
        <v>45</v>
      </c>
      <c r="H30" s="13">
        <v>17697</v>
      </c>
      <c r="I30" s="17" t="s">
        <v>54</v>
      </c>
      <c r="J30" s="21">
        <v>3.57</v>
      </c>
      <c r="K30" s="48">
        <v>0.5</v>
      </c>
      <c r="L30" s="19">
        <f t="shared" si="8"/>
        <v>63178.289999999994</v>
      </c>
      <c r="M30" s="19">
        <f>K30*L30</f>
        <v>31589.144999999997</v>
      </c>
      <c r="N30" s="28">
        <f>M30*50/100</f>
        <v>15794.572499999998</v>
      </c>
      <c r="O30" s="19">
        <f t="shared" si="2"/>
        <v>11845.929375</v>
      </c>
      <c r="P30" s="28">
        <f t="shared" si="9"/>
        <v>5922.9646874999999</v>
      </c>
      <c r="Q30" s="28"/>
      <c r="R30" s="19"/>
      <c r="S30" s="20"/>
      <c r="T30" s="20"/>
      <c r="U30" s="20"/>
      <c r="V30" s="20"/>
      <c r="W30" s="20"/>
      <c r="X30" s="20"/>
      <c r="Y30" s="20"/>
      <c r="Z30" s="20">
        <f t="shared" si="4"/>
        <v>65152.611562499995</v>
      </c>
      <c r="AA30" s="20">
        <f t="shared" si="0"/>
        <v>31589.145</v>
      </c>
      <c r="AB30" s="20">
        <f t="shared" si="5"/>
        <v>33563.466562499991</v>
      </c>
      <c r="AC30" s="19">
        <f t="shared" si="6"/>
        <v>781831.33874999988</v>
      </c>
    </row>
    <row r="31" spans="2:29" ht="15.75" x14ac:dyDescent="0.25">
      <c r="B31" s="35"/>
      <c r="C31" s="36" t="s">
        <v>69</v>
      </c>
      <c r="D31" s="35"/>
      <c r="E31" s="37"/>
      <c r="F31" s="37"/>
      <c r="G31" s="37"/>
      <c r="H31" s="13">
        <v>17697</v>
      </c>
      <c r="I31" s="37"/>
      <c r="J31" s="37"/>
      <c r="K31" s="93">
        <f t="shared" ref="K31:Y31" si="10">SUM(K12:K30)</f>
        <v>12</v>
      </c>
      <c r="L31" s="38">
        <f t="shared" si="10"/>
        <v>1472390.4000000001</v>
      </c>
      <c r="M31" s="38">
        <f t="shared" si="10"/>
        <v>913873.08000000031</v>
      </c>
      <c r="N31" s="38">
        <f t="shared" si="10"/>
        <v>353586.06000000006</v>
      </c>
      <c r="O31" s="38">
        <f t="shared" si="10"/>
        <v>275055.62250000006</v>
      </c>
      <c r="P31" s="38">
        <f t="shared" si="10"/>
        <v>154251.47625000004</v>
      </c>
      <c r="Q31" s="38">
        <f t="shared" si="10"/>
        <v>89425.153124999997</v>
      </c>
      <c r="R31" s="38">
        <f t="shared" si="10"/>
        <v>0</v>
      </c>
      <c r="S31" s="38">
        <f t="shared" si="10"/>
        <v>0</v>
      </c>
      <c r="T31" s="38">
        <f t="shared" si="10"/>
        <v>0</v>
      </c>
      <c r="U31" s="38">
        <f t="shared" si="10"/>
        <v>57487.598437499997</v>
      </c>
      <c r="V31" s="38">
        <f t="shared" si="10"/>
        <v>0</v>
      </c>
      <c r="W31" s="38">
        <f t="shared" si="10"/>
        <v>0</v>
      </c>
      <c r="X31" s="38">
        <f t="shared" si="10"/>
        <v>2654.5499999999997</v>
      </c>
      <c r="Y31" s="38">
        <f t="shared" si="10"/>
        <v>0</v>
      </c>
      <c r="Z31" s="38">
        <f t="shared" ref="Z31:AC31" si="11">SUM(Z12:Z30)</f>
        <v>1846333.5403125</v>
      </c>
      <c r="AA31" s="38">
        <f t="shared" si="11"/>
        <v>1063440.3815625003</v>
      </c>
      <c r="AB31" s="38">
        <f t="shared" si="11"/>
        <v>782893.15874999994</v>
      </c>
      <c r="AC31" s="38">
        <f t="shared" si="11"/>
        <v>22156002.483750001</v>
      </c>
    </row>
    <row r="32" spans="2:29" x14ac:dyDescent="0.25">
      <c r="B32" s="14">
        <v>18</v>
      </c>
      <c r="C32" s="14" t="s">
        <v>123</v>
      </c>
      <c r="D32" s="39" t="s">
        <v>71</v>
      </c>
      <c r="E32" s="37"/>
      <c r="F32" s="37"/>
      <c r="G32" s="37"/>
      <c r="H32" s="13">
        <v>17697</v>
      </c>
      <c r="I32" s="40" t="s">
        <v>102</v>
      </c>
      <c r="J32" s="24">
        <v>2.89</v>
      </c>
      <c r="K32" s="48">
        <v>1</v>
      </c>
      <c r="L32" s="19">
        <f t="shared" si="8"/>
        <v>51144.33</v>
      </c>
      <c r="M32" s="19">
        <f>L32*K32</f>
        <v>51144.33</v>
      </c>
      <c r="N32" s="19"/>
      <c r="O32" s="19"/>
      <c r="P32" s="19">
        <f>M32*10%</f>
        <v>5114.4330000000009</v>
      </c>
      <c r="Q32" s="19"/>
      <c r="R32" s="19"/>
      <c r="S32" s="20"/>
      <c r="T32" s="20"/>
      <c r="U32" s="20"/>
      <c r="V32" s="20"/>
      <c r="W32" s="20"/>
      <c r="X32" s="20">
        <f>D10*30%</f>
        <v>5309.0999999999995</v>
      </c>
      <c r="Y32" s="20"/>
      <c r="Z32" s="20">
        <f>M32+N32+O32+P32+R32+S32+T32+U32+V32+W32+X32+Y32</f>
        <v>61567.863000000005</v>
      </c>
      <c r="AA32" s="20">
        <f t="shared" ref="AA32:AA39" si="12">Z32-N32-O32-P32</f>
        <v>56453.430000000008</v>
      </c>
      <c r="AB32" s="20">
        <f t="shared" si="5"/>
        <v>5114.4329999999973</v>
      </c>
      <c r="AC32" s="19">
        <f>Z32*12</f>
        <v>738814.35600000003</v>
      </c>
    </row>
    <row r="33" spans="2:29" x14ac:dyDescent="0.25">
      <c r="B33" s="76">
        <v>19</v>
      </c>
      <c r="C33" s="14" t="s">
        <v>123</v>
      </c>
      <c r="D33" s="43" t="s">
        <v>73</v>
      </c>
      <c r="E33" s="37"/>
      <c r="F33" s="44"/>
      <c r="G33" s="37"/>
      <c r="H33" s="13">
        <v>17697</v>
      </c>
      <c r="I33" s="40" t="s">
        <v>74</v>
      </c>
      <c r="J33" s="15">
        <v>2.81</v>
      </c>
      <c r="K33" s="48">
        <v>1</v>
      </c>
      <c r="L33" s="19">
        <f t="shared" si="8"/>
        <v>49728.57</v>
      </c>
      <c r="M33" s="19">
        <f>L33*K33</f>
        <v>49728.57</v>
      </c>
      <c r="N33" s="19"/>
      <c r="O33" s="19"/>
      <c r="P33" s="19">
        <f>M33*10%</f>
        <v>4972.857</v>
      </c>
      <c r="Q33" s="19"/>
      <c r="R33" s="19"/>
      <c r="S33" s="20"/>
      <c r="T33" s="20"/>
      <c r="U33" s="20"/>
      <c r="V33" s="20"/>
      <c r="W33" s="20"/>
      <c r="X33" s="20">
        <f>D10*20%</f>
        <v>3539.4</v>
      </c>
      <c r="Y33" s="20"/>
      <c r="Z33" s="20">
        <f t="shared" ref="Z33:Z39" si="13">M33+N33+O33+P33+R33+S33+T33+U33+V33+W33+X33+Y33</f>
        <v>58240.826999999997</v>
      </c>
      <c r="AA33" s="20">
        <f t="shared" si="12"/>
        <v>53267.97</v>
      </c>
      <c r="AB33" s="20">
        <f t="shared" si="5"/>
        <v>4972.8569999999963</v>
      </c>
      <c r="AC33" s="19">
        <f t="shared" ref="AC33:AC39" si="14">Z33*12</f>
        <v>698889.924</v>
      </c>
    </row>
    <row r="34" spans="2:29" x14ac:dyDescent="0.25">
      <c r="B34" s="14">
        <v>20</v>
      </c>
      <c r="C34" s="14" t="s">
        <v>123</v>
      </c>
      <c r="D34" s="14" t="s">
        <v>75</v>
      </c>
      <c r="E34" s="15"/>
      <c r="F34" s="15"/>
      <c r="G34" s="15"/>
      <c r="H34" s="13">
        <v>17697</v>
      </c>
      <c r="I34" s="40" t="s">
        <v>76</v>
      </c>
      <c r="J34" s="16">
        <v>2.77</v>
      </c>
      <c r="K34" s="48">
        <v>0.5</v>
      </c>
      <c r="L34" s="19">
        <f t="shared" si="8"/>
        <v>49020.69</v>
      </c>
      <c r="M34" s="19">
        <f>SUM(L34*K34)</f>
        <v>24510.345000000001</v>
      </c>
      <c r="N34" s="19"/>
      <c r="O34" s="19"/>
      <c r="P34" s="19">
        <f>SUM(M34+N34)*10%</f>
        <v>2451.0345000000002</v>
      </c>
      <c r="Q34" s="19"/>
      <c r="R34" s="19"/>
      <c r="S34" s="20"/>
      <c r="T34" s="20"/>
      <c r="U34" s="20"/>
      <c r="V34" s="20"/>
      <c r="W34" s="20"/>
      <c r="X34" s="20"/>
      <c r="Y34" s="20"/>
      <c r="Z34" s="20">
        <f t="shared" si="13"/>
        <v>26961.379500000003</v>
      </c>
      <c r="AA34" s="20">
        <f t="shared" si="12"/>
        <v>24510.345000000001</v>
      </c>
      <c r="AB34" s="20">
        <f t="shared" si="5"/>
        <v>2451.0345000000016</v>
      </c>
      <c r="AC34" s="19">
        <f t="shared" si="14"/>
        <v>323536.554</v>
      </c>
    </row>
    <row r="35" spans="2:29" x14ac:dyDescent="0.25">
      <c r="B35" s="77">
        <v>21</v>
      </c>
      <c r="C35" s="14" t="s">
        <v>123</v>
      </c>
      <c r="D35" s="14" t="s">
        <v>78</v>
      </c>
      <c r="E35" s="15"/>
      <c r="F35" s="15"/>
      <c r="G35" s="15"/>
      <c r="H35" s="13">
        <v>17697</v>
      </c>
      <c r="I35" s="40" t="s">
        <v>79</v>
      </c>
      <c r="J35" s="15">
        <v>2.84</v>
      </c>
      <c r="K35" s="48" t="s">
        <v>80</v>
      </c>
      <c r="L35" s="19">
        <f t="shared" si="8"/>
        <v>50259.479999999996</v>
      </c>
      <c r="M35" s="19">
        <f t="shared" ref="M35:M39" si="15">SUM(L35*K35)</f>
        <v>50259.479999999996</v>
      </c>
      <c r="N35" s="19"/>
      <c r="O35" s="19"/>
      <c r="P35" s="19">
        <f t="shared" ref="P35:P39" si="16">SUM(M35+N35)*10%</f>
        <v>5025.9480000000003</v>
      </c>
      <c r="Q35" s="19"/>
      <c r="R35" s="19"/>
      <c r="S35" s="20"/>
      <c r="T35" s="20"/>
      <c r="U35" s="20"/>
      <c r="V35" s="20"/>
      <c r="W35" s="20"/>
      <c r="X35" s="20"/>
      <c r="Y35" s="20"/>
      <c r="Z35" s="20">
        <f t="shared" si="13"/>
        <v>55285.428</v>
      </c>
      <c r="AA35" s="20">
        <f t="shared" si="12"/>
        <v>50259.479999999996</v>
      </c>
      <c r="AB35" s="20">
        <f t="shared" si="5"/>
        <v>5025.948000000004</v>
      </c>
      <c r="AC35" s="19">
        <f t="shared" si="14"/>
        <v>663425.13599999994</v>
      </c>
    </row>
    <row r="36" spans="2:29" x14ac:dyDescent="0.25">
      <c r="B36" s="14">
        <v>22</v>
      </c>
      <c r="C36" s="14" t="s">
        <v>123</v>
      </c>
      <c r="D36" s="14" t="s">
        <v>81</v>
      </c>
      <c r="E36" s="15"/>
      <c r="F36" s="15"/>
      <c r="G36" s="15"/>
      <c r="H36" s="13">
        <v>17697</v>
      </c>
      <c r="I36" s="40" t="s">
        <v>74</v>
      </c>
      <c r="J36" s="15">
        <v>2.81</v>
      </c>
      <c r="K36" s="48">
        <v>2</v>
      </c>
      <c r="L36" s="19">
        <f t="shared" si="8"/>
        <v>49728.57</v>
      </c>
      <c r="M36" s="19">
        <f t="shared" si="15"/>
        <v>99457.14</v>
      </c>
      <c r="N36" s="19"/>
      <c r="O36" s="19"/>
      <c r="P36" s="19">
        <f t="shared" si="16"/>
        <v>9945.7139999999999</v>
      </c>
      <c r="Q36" s="19"/>
      <c r="R36" s="19"/>
      <c r="S36" s="20"/>
      <c r="T36" s="20"/>
      <c r="U36" s="20"/>
      <c r="V36" s="20"/>
      <c r="W36" s="20">
        <f>D10*20%*2</f>
        <v>7078.8</v>
      </c>
      <c r="X36" s="20">
        <f>H36*30%</f>
        <v>5309.0999999999995</v>
      </c>
      <c r="Y36" s="20"/>
      <c r="Z36" s="20">
        <f t="shared" si="13"/>
        <v>121790.754</v>
      </c>
      <c r="AA36" s="20">
        <f t="shared" si="12"/>
        <v>111845.04000000001</v>
      </c>
      <c r="AB36" s="20">
        <f t="shared" si="5"/>
        <v>9945.7139999999927</v>
      </c>
      <c r="AC36" s="19">
        <f t="shared" si="14"/>
        <v>1461489.048</v>
      </c>
    </row>
    <row r="37" spans="2:29" x14ac:dyDescent="0.25">
      <c r="B37" s="14">
        <v>23</v>
      </c>
      <c r="C37" s="14" t="s">
        <v>123</v>
      </c>
      <c r="D37" s="14" t="s">
        <v>82</v>
      </c>
      <c r="E37" s="15"/>
      <c r="F37" s="15"/>
      <c r="G37" s="15"/>
      <c r="H37" s="13">
        <v>17697</v>
      </c>
      <c r="I37" s="40" t="s">
        <v>76</v>
      </c>
      <c r="J37" s="15">
        <v>2.77</v>
      </c>
      <c r="K37" s="48">
        <v>2</v>
      </c>
      <c r="L37" s="19">
        <f t="shared" si="8"/>
        <v>49020.69</v>
      </c>
      <c r="M37" s="19">
        <f t="shared" si="15"/>
        <v>98041.38</v>
      </c>
      <c r="N37" s="19"/>
      <c r="O37" s="19"/>
      <c r="P37" s="19">
        <f t="shared" si="16"/>
        <v>9804.1380000000008</v>
      </c>
      <c r="Q37" s="19"/>
      <c r="R37" s="19"/>
      <c r="S37" s="20"/>
      <c r="T37" s="20"/>
      <c r="U37" s="20"/>
      <c r="V37" s="20"/>
      <c r="W37" s="20"/>
      <c r="X37" s="20"/>
      <c r="Y37" s="20"/>
      <c r="Z37" s="20">
        <f t="shared" si="13"/>
        <v>107845.51800000001</v>
      </c>
      <c r="AA37" s="20">
        <f t="shared" si="12"/>
        <v>98041.38</v>
      </c>
      <c r="AB37" s="20">
        <f t="shared" si="5"/>
        <v>9804.1380000000063</v>
      </c>
      <c r="AC37" s="19">
        <f t="shared" si="14"/>
        <v>1294146.216</v>
      </c>
    </row>
    <row r="38" spans="2:29" x14ac:dyDescent="0.25">
      <c r="B38" s="14">
        <v>24</v>
      </c>
      <c r="C38" s="14" t="s">
        <v>123</v>
      </c>
      <c r="D38" s="14" t="s">
        <v>83</v>
      </c>
      <c r="E38" s="15"/>
      <c r="F38" s="15"/>
      <c r="G38" s="15"/>
      <c r="H38" s="13">
        <v>17697</v>
      </c>
      <c r="I38" s="40" t="s">
        <v>79</v>
      </c>
      <c r="J38" s="15">
        <v>2.84</v>
      </c>
      <c r="K38" s="48" t="s">
        <v>80</v>
      </c>
      <c r="L38" s="19">
        <f t="shared" si="8"/>
        <v>50259.479999999996</v>
      </c>
      <c r="M38" s="19">
        <f t="shared" si="15"/>
        <v>50259.479999999996</v>
      </c>
      <c r="N38" s="19"/>
      <c r="O38" s="19"/>
      <c r="P38" s="19">
        <f t="shared" si="16"/>
        <v>5025.9480000000003</v>
      </c>
      <c r="Q38" s="19"/>
      <c r="R38" s="19"/>
      <c r="S38" s="20"/>
      <c r="T38" s="20"/>
      <c r="U38" s="20"/>
      <c r="V38" s="20"/>
      <c r="W38" s="20"/>
      <c r="X38" s="20"/>
      <c r="Y38" s="20"/>
      <c r="Z38" s="20">
        <f t="shared" si="13"/>
        <v>55285.428</v>
      </c>
      <c r="AA38" s="20">
        <f t="shared" si="12"/>
        <v>50259.479999999996</v>
      </c>
      <c r="AB38" s="20">
        <f t="shared" si="5"/>
        <v>5025.948000000004</v>
      </c>
      <c r="AC38" s="19">
        <f t="shared" si="14"/>
        <v>663425.13599999994</v>
      </c>
    </row>
    <row r="39" spans="2:29" x14ac:dyDescent="0.25">
      <c r="B39" s="14">
        <v>26</v>
      </c>
      <c r="C39" s="14" t="s">
        <v>123</v>
      </c>
      <c r="D39" s="14" t="s">
        <v>85</v>
      </c>
      <c r="E39" s="15"/>
      <c r="F39" s="15"/>
      <c r="G39" s="15"/>
      <c r="H39" s="13">
        <v>17697</v>
      </c>
      <c r="I39" s="40" t="s">
        <v>76</v>
      </c>
      <c r="J39" s="15">
        <v>2.77</v>
      </c>
      <c r="K39" s="48" t="s">
        <v>80</v>
      </c>
      <c r="L39" s="19">
        <f t="shared" si="8"/>
        <v>49020.69</v>
      </c>
      <c r="M39" s="19">
        <f t="shared" si="15"/>
        <v>49020.69</v>
      </c>
      <c r="N39" s="19"/>
      <c r="O39" s="19"/>
      <c r="P39" s="19">
        <f t="shared" si="16"/>
        <v>4902.0690000000004</v>
      </c>
      <c r="Q39" s="19"/>
      <c r="R39" s="19"/>
      <c r="S39" s="20"/>
      <c r="T39" s="20"/>
      <c r="U39" s="20"/>
      <c r="V39" s="20"/>
      <c r="W39" s="20"/>
      <c r="X39" s="20"/>
      <c r="Y39" s="20"/>
      <c r="Z39" s="20">
        <f t="shared" si="13"/>
        <v>53922.759000000005</v>
      </c>
      <c r="AA39" s="20">
        <f t="shared" si="12"/>
        <v>49020.69</v>
      </c>
      <c r="AB39" s="20">
        <f t="shared" si="5"/>
        <v>4902.0690000000031</v>
      </c>
      <c r="AC39" s="19">
        <f t="shared" si="14"/>
        <v>647073.10800000001</v>
      </c>
    </row>
    <row r="40" spans="2:29" x14ac:dyDescent="0.25">
      <c r="B40" s="78"/>
      <c r="C40" s="50" t="s">
        <v>86</v>
      </c>
      <c r="D40" s="50"/>
      <c r="E40" s="51"/>
      <c r="F40" s="37"/>
      <c r="G40" s="37"/>
      <c r="H40" s="13"/>
      <c r="I40" s="52"/>
      <c r="J40" s="52"/>
      <c r="K40" s="94">
        <f t="shared" ref="K40:Y40" si="17">SUM(K32:K39)</f>
        <v>6.5</v>
      </c>
      <c r="L40" s="54">
        <f t="shared" si="17"/>
        <v>398182.5</v>
      </c>
      <c r="M40" s="54">
        <f t="shared" si="17"/>
        <v>472421.41499999998</v>
      </c>
      <c r="N40" s="54">
        <f t="shared" si="17"/>
        <v>0</v>
      </c>
      <c r="O40" s="54">
        <f t="shared" si="17"/>
        <v>0</v>
      </c>
      <c r="P40" s="54">
        <f t="shared" si="17"/>
        <v>47242.141499999998</v>
      </c>
      <c r="Q40" s="54">
        <f t="shared" si="17"/>
        <v>0</v>
      </c>
      <c r="R40" s="54">
        <f t="shared" si="17"/>
        <v>0</v>
      </c>
      <c r="S40" s="54">
        <f t="shared" si="17"/>
        <v>0</v>
      </c>
      <c r="T40" s="54">
        <f t="shared" si="17"/>
        <v>0</v>
      </c>
      <c r="U40" s="54">
        <f t="shared" si="17"/>
        <v>0</v>
      </c>
      <c r="V40" s="54">
        <f t="shared" si="17"/>
        <v>0</v>
      </c>
      <c r="W40" s="54">
        <f t="shared" si="17"/>
        <v>7078.8</v>
      </c>
      <c r="X40" s="54">
        <f t="shared" si="17"/>
        <v>14157.599999999999</v>
      </c>
      <c r="Y40" s="54">
        <f t="shared" si="17"/>
        <v>0</v>
      </c>
      <c r="Z40" s="54">
        <f t="shared" ref="Z40:AC40" si="18">SUM(Z32:Z39)</f>
        <v>540899.95650000009</v>
      </c>
      <c r="AA40" s="54">
        <f t="shared" si="18"/>
        <v>493657.815</v>
      </c>
      <c r="AB40" s="54">
        <f t="shared" si="18"/>
        <v>47242.141500000005</v>
      </c>
      <c r="AC40" s="54">
        <f t="shared" si="18"/>
        <v>6490799.4779999992</v>
      </c>
    </row>
    <row r="41" spans="2:29" x14ac:dyDescent="0.25">
      <c r="B41" s="78"/>
      <c r="C41" s="50" t="s">
        <v>87</v>
      </c>
      <c r="D41" s="50"/>
      <c r="E41" s="51"/>
      <c r="F41" s="37"/>
      <c r="G41" s="37"/>
      <c r="H41" s="13"/>
      <c r="I41" s="37"/>
      <c r="J41" s="37"/>
      <c r="K41" s="93">
        <f>SUM(K31+K40)</f>
        <v>18.5</v>
      </c>
      <c r="L41" s="54">
        <f>L40+L31</f>
        <v>1870572.9000000001</v>
      </c>
      <c r="M41" s="54">
        <f>M31+M40</f>
        <v>1386294.4950000003</v>
      </c>
      <c r="N41" s="54">
        <f>N31+N40</f>
        <v>353586.06000000006</v>
      </c>
      <c r="O41" s="54"/>
      <c r="P41" s="54">
        <f>P31+P40</f>
        <v>201493.61775000003</v>
      </c>
      <c r="Q41" s="54">
        <f t="shared" ref="Q41:AC41" si="19">Q31+Q40</f>
        <v>89425.153124999997</v>
      </c>
      <c r="R41" s="54">
        <f t="shared" si="19"/>
        <v>0</v>
      </c>
      <c r="S41" s="54">
        <f t="shared" si="19"/>
        <v>0</v>
      </c>
      <c r="T41" s="54">
        <f t="shared" si="19"/>
        <v>0</v>
      </c>
      <c r="U41" s="54">
        <f t="shared" si="19"/>
        <v>57487.598437499997</v>
      </c>
      <c r="V41" s="54">
        <f t="shared" si="19"/>
        <v>0</v>
      </c>
      <c r="W41" s="54">
        <f t="shared" si="19"/>
        <v>7078.8</v>
      </c>
      <c r="X41" s="54">
        <f t="shared" si="19"/>
        <v>16812.149999999998</v>
      </c>
      <c r="Y41" s="54">
        <f t="shared" si="19"/>
        <v>0</v>
      </c>
      <c r="Z41" s="54">
        <f>Z31+Z40</f>
        <v>2387233.4968125001</v>
      </c>
      <c r="AA41" s="54">
        <f t="shared" si="19"/>
        <v>1557098.1965625002</v>
      </c>
      <c r="AB41" s="54">
        <f t="shared" si="19"/>
        <v>830135.30024999997</v>
      </c>
      <c r="AC41" s="54">
        <f t="shared" si="19"/>
        <v>28646801.961750001</v>
      </c>
    </row>
    <row r="42" spans="2:29" x14ac:dyDescent="0.25">
      <c r="B42" s="77">
        <v>28</v>
      </c>
      <c r="C42" s="14" t="s">
        <v>123</v>
      </c>
      <c r="D42" s="22" t="s">
        <v>89</v>
      </c>
      <c r="E42" s="49"/>
      <c r="F42" s="15"/>
      <c r="G42" s="15"/>
      <c r="H42" s="13">
        <v>17697</v>
      </c>
      <c r="I42" s="15" t="s">
        <v>79</v>
      </c>
      <c r="J42" s="15">
        <v>2.84</v>
      </c>
      <c r="K42" s="48">
        <v>4</v>
      </c>
      <c r="L42" s="19">
        <f>J42*H42</f>
        <v>50259.479999999996</v>
      </c>
      <c r="M42" s="19">
        <f>SUM(K42*L42)</f>
        <v>201037.91999999998</v>
      </c>
      <c r="N42" s="19"/>
      <c r="O42" s="19"/>
      <c r="P42" s="19">
        <f>SUM(M42+N42)*10%</f>
        <v>20103.792000000001</v>
      </c>
      <c r="Q42" s="19"/>
      <c r="R42" s="19">
        <v>37659</v>
      </c>
      <c r="S42" s="19">
        <v>9247</v>
      </c>
      <c r="T42" s="19">
        <v>6188</v>
      </c>
      <c r="U42" s="19"/>
      <c r="V42" s="20"/>
      <c r="W42" s="20"/>
      <c r="X42" s="20">
        <f>H42*K42*30%</f>
        <v>21236.399999999998</v>
      </c>
      <c r="Y42" s="20"/>
      <c r="Z42" s="20">
        <f>M42+N42+O42+P42+R42+S42+T42+U42+V42+W42+X42+Y42</f>
        <v>295472.11200000002</v>
      </c>
      <c r="AA42" s="20">
        <f>Z42-N42-O42-P42</f>
        <v>275368.32000000001</v>
      </c>
      <c r="AB42" s="20">
        <f t="shared" si="5"/>
        <v>20103.792000000016</v>
      </c>
      <c r="AC42" s="19">
        <f>Z42*12</f>
        <v>3545665.3440000005</v>
      </c>
    </row>
    <row r="43" spans="2:29" x14ac:dyDescent="0.25">
      <c r="B43" s="46"/>
      <c r="C43" s="56" t="s">
        <v>90</v>
      </c>
      <c r="D43" s="22"/>
      <c r="E43" s="49"/>
      <c r="F43" s="15"/>
      <c r="G43" s="15"/>
      <c r="H43" s="13"/>
      <c r="I43" s="15"/>
      <c r="J43" s="15"/>
      <c r="K43" s="48">
        <f>K41+K42</f>
        <v>22.5</v>
      </c>
      <c r="L43" s="19">
        <f t="shared" si="8"/>
        <v>0</v>
      </c>
      <c r="M43" s="54">
        <f>M42</f>
        <v>201037.91999999998</v>
      </c>
      <c r="N43" s="54">
        <f t="shared" ref="N43:AC43" si="20">N42</f>
        <v>0</v>
      </c>
      <c r="O43" s="54">
        <f t="shared" si="20"/>
        <v>0</v>
      </c>
      <c r="P43" s="54">
        <f t="shared" si="20"/>
        <v>20103.792000000001</v>
      </c>
      <c r="Q43" s="54">
        <f t="shared" si="20"/>
        <v>0</v>
      </c>
      <c r="R43" s="54">
        <f t="shared" si="20"/>
        <v>37659</v>
      </c>
      <c r="S43" s="54">
        <f t="shared" si="20"/>
        <v>9247</v>
      </c>
      <c r="T43" s="54">
        <f t="shared" si="20"/>
        <v>6188</v>
      </c>
      <c r="U43" s="54">
        <f t="shared" si="20"/>
        <v>0</v>
      </c>
      <c r="V43" s="54">
        <f t="shared" si="20"/>
        <v>0</v>
      </c>
      <c r="W43" s="54">
        <f t="shared" si="20"/>
        <v>0</v>
      </c>
      <c r="X43" s="54">
        <f t="shared" si="20"/>
        <v>21236.399999999998</v>
      </c>
      <c r="Y43" s="54">
        <f t="shared" si="20"/>
        <v>0</v>
      </c>
      <c r="Z43" s="54">
        <f t="shared" si="20"/>
        <v>295472.11200000002</v>
      </c>
      <c r="AA43" s="54">
        <f t="shared" si="20"/>
        <v>275368.32000000001</v>
      </c>
      <c r="AB43" s="54">
        <f t="shared" si="20"/>
        <v>20103.792000000016</v>
      </c>
      <c r="AC43" s="54">
        <f t="shared" si="20"/>
        <v>3545665.3440000005</v>
      </c>
    </row>
    <row r="44" spans="2:29" x14ac:dyDescent="0.25">
      <c r="B44" s="57"/>
      <c r="C44" s="58" t="s">
        <v>91</v>
      </c>
      <c r="D44" s="59"/>
      <c r="E44" s="60"/>
      <c r="F44" s="61"/>
      <c r="G44" s="61"/>
      <c r="H44" s="61"/>
      <c r="I44" s="61" t="s">
        <v>79</v>
      </c>
      <c r="J44" s="61">
        <v>2.84</v>
      </c>
      <c r="K44" s="95">
        <v>1</v>
      </c>
      <c r="L44" s="19"/>
      <c r="M44" s="62"/>
      <c r="N44" s="61"/>
      <c r="O44" s="61"/>
      <c r="P44" s="62"/>
      <c r="Q44" s="62"/>
      <c r="R44" s="15"/>
      <c r="S44" s="62"/>
      <c r="T44" s="63"/>
      <c r="U44" s="63"/>
      <c r="V44" s="63"/>
      <c r="W44" s="63"/>
      <c r="X44" s="64"/>
      <c r="Y44" s="64"/>
      <c r="Z44" s="20">
        <f>M44+N44+O44+P44+R44+S44+T44+U44+V44+W44+X44+Y44</f>
        <v>0</v>
      </c>
      <c r="AA44" s="20">
        <f>Z44-N44-O44-P44</f>
        <v>0</v>
      </c>
      <c r="AB44" s="20">
        <f t="shared" si="5"/>
        <v>0</v>
      </c>
      <c r="AC44" s="19">
        <f t="shared" ref="AC44" si="21">Z44*4</f>
        <v>0</v>
      </c>
    </row>
    <row r="45" spans="2:29" x14ac:dyDescent="0.25">
      <c r="B45" s="65"/>
      <c r="C45" s="66"/>
      <c r="D45" s="14"/>
      <c r="E45" s="15"/>
      <c r="F45" s="15"/>
      <c r="G45" s="15"/>
      <c r="H45" s="15"/>
      <c r="I45" s="15"/>
      <c r="J45" s="15"/>
      <c r="K45" s="96"/>
      <c r="L45" s="54">
        <f>L41+L42</f>
        <v>1920832.3800000001</v>
      </c>
      <c r="M45" s="54">
        <f t="shared" ref="M45:AC45" si="22">M41+M42</f>
        <v>1587332.4150000003</v>
      </c>
      <c r="N45" s="54">
        <f t="shared" si="22"/>
        <v>353586.06000000006</v>
      </c>
      <c r="O45" s="54">
        <f t="shared" si="22"/>
        <v>0</v>
      </c>
      <c r="P45" s="54">
        <f t="shared" si="22"/>
        <v>221597.40975000005</v>
      </c>
      <c r="Q45" s="54">
        <f t="shared" si="22"/>
        <v>89425.153124999997</v>
      </c>
      <c r="R45" s="54">
        <f t="shared" si="22"/>
        <v>37659</v>
      </c>
      <c r="S45" s="54">
        <f t="shared" si="22"/>
        <v>9247</v>
      </c>
      <c r="T45" s="54">
        <f t="shared" si="22"/>
        <v>6188</v>
      </c>
      <c r="U45" s="54">
        <f t="shared" si="22"/>
        <v>57487.598437499997</v>
      </c>
      <c r="V45" s="54">
        <f t="shared" si="22"/>
        <v>0</v>
      </c>
      <c r="W45" s="54">
        <f t="shared" si="22"/>
        <v>7078.8</v>
      </c>
      <c r="X45" s="54">
        <f t="shared" si="22"/>
        <v>38048.549999999996</v>
      </c>
      <c r="Y45" s="54">
        <f t="shared" si="22"/>
        <v>0</v>
      </c>
      <c r="Z45" s="54">
        <f t="shared" si="22"/>
        <v>2682705.6088125003</v>
      </c>
      <c r="AA45" s="54">
        <f t="shared" si="22"/>
        <v>1832466.5165625003</v>
      </c>
      <c r="AB45" s="54">
        <f t="shared" si="22"/>
        <v>850239.09224999999</v>
      </c>
      <c r="AC45" s="54">
        <f t="shared" si="22"/>
        <v>32192467.305750001</v>
      </c>
    </row>
    <row r="46" spans="2:29" x14ac:dyDescent="0.25">
      <c r="B46" s="67"/>
      <c r="C46" s="68"/>
      <c r="D46" s="69"/>
      <c r="E46" s="69"/>
      <c r="F46" s="69"/>
      <c r="G46" s="69"/>
      <c r="H46" s="69"/>
      <c r="I46" s="69"/>
      <c r="J46" s="69"/>
      <c r="K46" s="97"/>
      <c r="L46" s="70"/>
      <c r="M46" s="69"/>
      <c r="N46" s="69"/>
      <c r="O46" s="69"/>
      <c r="P46" s="81"/>
      <c r="Q46" s="81"/>
      <c r="R46" s="69"/>
      <c r="S46" s="70"/>
      <c r="T46" s="70"/>
      <c r="U46" s="70"/>
      <c r="V46" s="70"/>
      <c r="W46" s="70"/>
      <c r="X46" s="69"/>
      <c r="Y46" s="69"/>
      <c r="Z46" s="69"/>
      <c r="AA46" s="69"/>
      <c r="AB46" s="69"/>
      <c r="AC46" s="70"/>
    </row>
    <row r="47" spans="2:29" ht="15.75" x14ac:dyDescent="0.25">
      <c r="B47" s="71"/>
      <c r="C47" s="1" t="s">
        <v>92</v>
      </c>
      <c r="D47" s="1"/>
      <c r="E47" s="101" t="s">
        <v>96</v>
      </c>
      <c r="F47" s="101"/>
      <c r="G47" s="101"/>
      <c r="H47" s="101"/>
      <c r="I47" s="71"/>
      <c r="J47" s="72"/>
      <c r="K47" s="98"/>
      <c r="L47" s="71"/>
      <c r="M47" s="73"/>
      <c r="N47" s="103" t="s">
        <v>116</v>
      </c>
      <c r="O47" s="103"/>
      <c r="P47" s="100"/>
      <c r="Q47" s="100"/>
      <c r="R47" s="100"/>
      <c r="S47" s="100"/>
      <c r="T47" s="100"/>
      <c r="U47" s="100"/>
      <c r="V47" s="100"/>
      <c r="W47" s="100"/>
      <c r="X47" s="100"/>
      <c r="Y47" s="89"/>
      <c r="Z47" s="89"/>
      <c r="AA47" s="89"/>
      <c r="AB47" s="89"/>
      <c r="AC47" s="74"/>
    </row>
    <row r="48" spans="2:29" ht="15.75" x14ac:dyDescent="0.25">
      <c r="B48" s="71"/>
      <c r="C48" s="1" t="s">
        <v>94</v>
      </c>
      <c r="D48" s="1"/>
      <c r="E48" s="101" t="s">
        <v>95</v>
      </c>
      <c r="F48" s="101"/>
      <c r="G48" s="101"/>
      <c r="H48" s="101"/>
      <c r="I48" s="1"/>
      <c r="J48" s="72"/>
      <c r="K48" s="98"/>
      <c r="L48" s="71"/>
      <c r="M48" s="73"/>
      <c r="N48" s="106" t="s">
        <v>118</v>
      </c>
      <c r="O48" s="106"/>
      <c r="P48" s="107"/>
      <c r="Q48" s="107"/>
      <c r="R48" s="107"/>
      <c r="S48" s="108" t="s">
        <v>119</v>
      </c>
      <c r="T48" s="108"/>
      <c r="U48" s="108"/>
      <c r="V48" s="1"/>
      <c r="W48" s="69"/>
      <c r="X48" s="70"/>
      <c r="Y48" s="70"/>
      <c r="Z48" s="104"/>
      <c r="AA48" s="104"/>
      <c r="AB48" s="104"/>
      <c r="AC48" s="105"/>
    </row>
    <row r="49" spans="2:29" ht="15.75" x14ac:dyDescent="0.25">
      <c r="B49" s="3"/>
      <c r="C49" s="88" t="s">
        <v>93</v>
      </c>
      <c r="D49" s="1"/>
      <c r="E49" s="101" t="s">
        <v>122</v>
      </c>
      <c r="F49" s="101"/>
      <c r="G49" s="101"/>
      <c r="H49" s="101"/>
      <c r="I49" s="71"/>
      <c r="J49" s="72"/>
      <c r="K49" s="98"/>
      <c r="L49" s="71"/>
      <c r="M49" s="67"/>
      <c r="N49" s="103"/>
      <c r="O49" s="103"/>
      <c r="P49" s="100"/>
      <c r="Q49" s="100"/>
      <c r="R49" s="100"/>
      <c r="S49" s="100"/>
      <c r="T49" s="100"/>
      <c r="U49" s="100"/>
      <c r="V49" s="100"/>
      <c r="W49" s="100"/>
      <c r="X49" s="70"/>
      <c r="Y49" s="70"/>
      <c r="Z49" s="70"/>
      <c r="AA49" s="70"/>
      <c r="AB49" s="70"/>
      <c r="AC49" s="74"/>
    </row>
    <row r="50" spans="2:29" x14ac:dyDescent="0.25">
      <c r="B50" s="1"/>
      <c r="C50" s="1"/>
      <c r="D50" s="1"/>
      <c r="E50" s="71"/>
      <c r="F50" s="1"/>
      <c r="G50" s="1"/>
      <c r="H50" s="1"/>
      <c r="I50" s="1"/>
      <c r="J50" s="72"/>
      <c r="K50" s="90"/>
      <c r="L50" s="1"/>
      <c r="M50" s="1"/>
      <c r="N50" s="1"/>
      <c r="O50" s="1"/>
      <c r="P50" s="79"/>
      <c r="Q50" s="79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x14ac:dyDescent="0.25">
      <c r="B51" s="1"/>
      <c r="C51" s="1"/>
      <c r="D51" s="1"/>
      <c r="E51" s="101"/>
      <c r="F51" s="101"/>
      <c r="G51" s="101"/>
      <c r="H51" s="101"/>
      <c r="I51" s="1"/>
      <c r="J51" s="72"/>
      <c r="K51" s="90"/>
      <c r="L51" s="1"/>
      <c r="M51" s="1"/>
      <c r="N51" s="1"/>
      <c r="O51" s="1"/>
      <c r="P51" s="79"/>
      <c r="Q51" s="79"/>
      <c r="R51" s="1"/>
      <c r="S51" s="1"/>
      <c r="T51" s="1"/>
      <c r="U51" s="1"/>
      <c r="V51" s="1"/>
      <c r="W51" s="75"/>
      <c r="X51" s="70"/>
      <c r="Y51" s="70"/>
      <c r="Z51" s="70"/>
      <c r="AA51" s="70"/>
      <c r="AB51" s="70"/>
      <c r="AC51" s="1"/>
    </row>
    <row r="54" spans="2:29" x14ac:dyDescent="0.25">
      <c r="M54" s="100"/>
      <c r="N54" s="100"/>
      <c r="O54" s="100"/>
      <c r="P54" s="100"/>
      <c r="Q54" s="100"/>
      <c r="R54" s="100"/>
      <c r="S54" s="100"/>
      <c r="T54" s="100"/>
    </row>
  </sheetData>
  <mergeCells count="12">
    <mergeCell ref="E51:H51"/>
    <mergeCell ref="M54:T54"/>
    <mergeCell ref="E49:H49"/>
    <mergeCell ref="E47:H47"/>
    <mergeCell ref="E48:H48"/>
    <mergeCell ref="B9:AC9"/>
    <mergeCell ref="N47:X47"/>
    <mergeCell ref="Z48:AC48"/>
    <mergeCell ref="N49:W49"/>
    <mergeCell ref="N48:O48"/>
    <mergeCell ref="P48:R48"/>
    <mergeCell ref="S48:U4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Кенес  ШТ 01.09.2020</vt:lpstr>
      <vt:lpstr>Вакансия </vt:lpstr>
      <vt:lpstr>'Вакансия '!Область_печати</vt:lpstr>
      <vt:lpstr>'Кенес  ШТ 01.09.2020'!Область_печати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2021-02-04T03:01:22Z</cp:lastPrinted>
  <dcterms:created xsi:type="dcterms:W3CDTF">2020-01-08T04:48:02Z</dcterms:created>
  <dcterms:modified xsi:type="dcterms:W3CDTF">2021-03-15T03:57:44Z</dcterms:modified>
</cp:coreProperties>
</file>